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filterPrivacy="1"/>
  <xr:revisionPtr revIDLastSave="0" documentId="13_ncr:1_{C81FE3C9-5923-495B-9191-252FF356583B}" xr6:coauthVersionLast="47" xr6:coauthVersionMax="47" xr10:uidLastSave="{00000000-0000-0000-0000-000000000000}"/>
  <bookViews>
    <workbookView xWindow="-108" yWindow="-108" windowWidth="23256" windowHeight="12576" xr2:uid="{00000000-000D-0000-FFFF-FFFF00000000}"/>
  </bookViews>
  <sheets>
    <sheet name="Лист1" sheetId="12" r:id="rId1"/>
    <sheet name="КО+материалы" sheetId="2" state="hidden" r:id="rId2"/>
    <sheet name="Для ГПР" sheetId="4" state="hidden" r:id="rId3"/>
  </sheets>
  <externalReferences>
    <externalReference r:id="rId4"/>
  </externalReferences>
  <definedNames>
    <definedName name="_xlnm._FilterDatabase" localSheetId="1" hidden="1">'КО+материалы'!$A$10:$P$156</definedName>
    <definedName name="Z_130201AA_8156_4EFF_986A_871312EB75C5_.wvu.Rows">'[1]Кв. Секция 3.2.3'!#REF!</definedName>
    <definedName name="Z_C05F41AD_65F0_4D8D_9AC2_5FBE5A783A0B_.wvu.Rows">'[1]Кв. Секция 3.2.3'!#REF!</definedName>
    <definedName name="_xlnm.Print_Area" localSheetId="1">'КО+материалы'!$A$2:$K$158</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13" i="12" l="1"/>
  <c r="G13" i="12" s="1"/>
  <c r="D12" i="12"/>
  <c r="H12" i="12" s="1"/>
  <c r="D8" i="12"/>
  <c r="H8" i="12" s="1"/>
  <c r="D7" i="12"/>
  <c r="G11" i="12"/>
  <c r="H11" i="12"/>
  <c r="I11" i="12"/>
  <c r="H13" i="12"/>
  <c r="H10" i="12"/>
  <c r="G10" i="12"/>
  <c r="G6" i="12"/>
  <c r="I6" i="12" s="1"/>
  <c r="H6" i="12"/>
  <c r="G7" i="12"/>
  <c r="H7" i="12"/>
  <c r="G8" i="12"/>
  <c r="H5" i="12"/>
  <c r="G5" i="12"/>
  <c r="I7" i="12" l="1"/>
  <c r="I5" i="12"/>
  <c r="I10" i="12"/>
  <c r="I8" i="12"/>
  <c r="I13" i="12"/>
  <c r="G12" i="12"/>
  <c r="I12" i="12" s="1"/>
  <c r="F90" i="2"/>
  <c r="F89" i="2"/>
  <c r="I89" i="2" s="1"/>
  <c r="F85" i="2"/>
  <c r="F127" i="2"/>
  <c r="F113" i="2"/>
  <c r="F125" i="2"/>
  <c r="F124" i="2"/>
  <c r="F123" i="2"/>
  <c r="F121" i="2"/>
  <c r="F120" i="2"/>
  <c r="F119" i="2"/>
  <c r="F118" i="2"/>
  <c r="E67" i="2"/>
  <c r="F67" i="2" s="1"/>
  <c r="H67" i="2" s="1"/>
  <c r="I90" i="2"/>
  <c r="I111" i="2"/>
  <c r="I110" i="2"/>
  <c r="I108" i="2"/>
  <c r="I107" i="2"/>
  <c r="I106" i="2"/>
  <c r="I105" i="2"/>
  <c r="I104" i="2"/>
  <c r="I103" i="2"/>
  <c r="E102" i="2"/>
  <c r="E109" i="2"/>
  <c r="F109" i="2" s="1"/>
  <c r="E86" i="2"/>
  <c r="E95" i="2"/>
  <c r="F95" i="2" s="1"/>
  <c r="H95" i="2" s="1"/>
  <c r="E42" i="2"/>
  <c r="E82" i="2"/>
  <c r="J82" i="2" s="1"/>
  <c r="I84" i="2"/>
  <c r="I100" i="2"/>
  <c r="I98" i="2"/>
  <c r="I101" i="2"/>
  <c r="I97" i="2"/>
  <c r="I45" i="2"/>
  <c r="I46" i="2"/>
  <c r="I99" i="2"/>
  <c r="I44" i="2"/>
  <c r="G6" i="4"/>
  <c r="G5" i="4"/>
  <c r="G4" i="4"/>
  <c r="F6" i="4"/>
  <c r="F5" i="4"/>
  <c r="F4" i="4"/>
  <c r="E6" i="4"/>
  <c r="E5" i="4"/>
  <c r="E4" i="4"/>
  <c r="D6" i="4"/>
  <c r="D5" i="4"/>
  <c r="D4" i="4"/>
  <c r="C6" i="4"/>
  <c r="C5" i="4"/>
  <c r="C4" i="4"/>
  <c r="E77" i="2"/>
  <c r="E62" i="2"/>
  <c r="J62" i="2" s="1"/>
  <c r="E47" i="2"/>
  <c r="J47" i="2" s="1"/>
  <c r="I43" i="2"/>
  <c r="I71" i="2"/>
  <c r="I96" i="2"/>
  <c r="I81" i="2"/>
  <c r="I80" i="2"/>
  <c r="I79" i="2"/>
  <c r="I51" i="2"/>
  <c r="I70" i="2"/>
  <c r="I69" i="2"/>
  <c r="I50" i="2"/>
  <c r="I49" i="2"/>
  <c r="E12" i="2"/>
  <c r="F12" i="2" s="1"/>
  <c r="E72" i="2"/>
  <c r="I68" i="2"/>
  <c r="I48" i="2"/>
  <c r="I78" i="2"/>
  <c r="I74" i="2"/>
  <c r="I76" i="2"/>
  <c r="I75" i="2"/>
  <c r="I21" i="2"/>
  <c r="I20" i="2"/>
  <c r="I19" i="2"/>
  <c r="I73" i="2"/>
  <c r="I18" i="2"/>
  <c r="E118" i="2"/>
  <c r="I118" i="2" s="1"/>
  <c r="E124" i="2"/>
  <c r="E27" i="2"/>
  <c r="J27" i="2" s="1"/>
  <c r="I38" i="2"/>
  <c r="E115" i="2"/>
  <c r="J115" i="2" s="1"/>
  <c r="E126" i="2"/>
  <c r="E112" i="2"/>
  <c r="E114" i="2" s="1"/>
  <c r="I114" i="2" s="1"/>
  <c r="I15" i="2"/>
  <c r="I14" i="2"/>
  <c r="E57" i="2"/>
  <c r="E32" i="2"/>
  <c r="E22" i="2"/>
  <c r="F22" i="2" s="1"/>
  <c r="I28" i="2"/>
  <c r="I63" i="2"/>
  <c r="I13" i="2"/>
  <c r="I16" i="2"/>
  <c r="I93" i="2"/>
  <c r="I91" i="2"/>
  <c r="I88" i="2"/>
  <c r="I61" i="2"/>
  <c r="I65" i="2"/>
  <c r="I64" i="2"/>
  <c r="I56" i="2"/>
  <c r="I60" i="2"/>
  <c r="I41" i="2"/>
  <c r="I59" i="2"/>
  <c r="I55" i="2"/>
  <c r="I54" i="2"/>
  <c r="I36" i="2"/>
  <c r="I40" i="2"/>
  <c r="I31" i="2"/>
  <c r="I35" i="2"/>
  <c r="I34" i="2"/>
  <c r="I30" i="2"/>
  <c r="I29" i="2"/>
  <c r="I25" i="2"/>
  <c r="I24" i="2"/>
  <c r="I66" i="2"/>
  <c r="I92" i="2"/>
  <c r="I58" i="2"/>
  <c r="I33" i="2"/>
  <c r="I87" i="2"/>
  <c r="I23" i="2"/>
  <c r="I83" i="2"/>
  <c r="I94" i="2"/>
  <c r="I26" i="2"/>
  <c r="I39" i="2"/>
  <c r="I53" i="2"/>
  <c r="E52" i="2"/>
  <c r="E125" i="2"/>
  <c r="I125" i="2" s="1"/>
  <c r="E17" i="2"/>
  <c r="E123" i="2"/>
  <c r="I14" i="12" l="1"/>
  <c r="I15" i="12" s="1"/>
  <c r="F27" i="2"/>
  <c r="J95" i="2"/>
  <c r="E116" i="2"/>
  <c r="I116" i="2" s="1"/>
  <c r="J12" i="2"/>
  <c r="H27" i="2"/>
  <c r="J112" i="2"/>
  <c r="F62" i="2"/>
  <c r="E113" i="2"/>
  <c r="I113" i="2" s="1"/>
  <c r="E37" i="2"/>
  <c r="E117" i="2"/>
  <c r="I67" i="2"/>
  <c r="I22" i="2"/>
  <c r="J22" i="2"/>
  <c r="E120" i="2"/>
  <c r="I120" i="2" s="1"/>
  <c r="E122" i="2"/>
  <c r="J122" i="2" s="1"/>
  <c r="I85" i="2"/>
  <c r="F82" i="2"/>
  <c r="I124" i="2"/>
  <c r="H109" i="2"/>
  <c r="I109" i="2"/>
  <c r="F17" i="2"/>
  <c r="J17" i="2"/>
  <c r="J126" i="2"/>
  <c r="E127" i="2"/>
  <c r="I127" i="2" s="1"/>
  <c r="J72" i="2"/>
  <c r="F72" i="2"/>
  <c r="E128" i="2"/>
  <c r="I128" i="2" s="1"/>
  <c r="J109" i="2"/>
  <c r="J67" i="2"/>
  <c r="H22" i="2"/>
  <c r="J32" i="2"/>
  <c r="F32" i="2"/>
  <c r="B4" i="4"/>
  <c r="B5" i="4"/>
  <c r="B6" i="4"/>
  <c r="I123" i="2"/>
  <c r="I95" i="2"/>
  <c r="J86" i="2"/>
  <c r="F86" i="2"/>
  <c r="I27" i="2"/>
  <c r="K27" i="2" s="1"/>
  <c r="H12" i="2"/>
  <c r="I12" i="2"/>
  <c r="F52" i="2"/>
  <c r="J52" i="2"/>
  <c r="F47" i="2"/>
  <c r="F42" i="2"/>
  <c r="J42" i="2"/>
  <c r="J57" i="2"/>
  <c r="F57" i="2"/>
  <c r="J77" i="2"/>
  <c r="F77" i="2"/>
  <c r="F102" i="2"/>
  <c r="J102" i="2"/>
  <c r="K95" i="2" l="1"/>
  <c r="F115" i="2"/>
  <c r="H115" i="2" s="1"/>
  <c r="H82" i="2"/>
  <c r="I82" i="2"/>
  <c r="K82" i="2" s="1"/>
  <c r="H62" i="2"/>
  <c r="K22" i="2"/>
  <c r="K12" i="2"/>
  <c r="F122" i="2"/>
  <c r="H122" i="2" s="1"/>
  <c r="F112" i="2"/>
  <c r="H112" i="2" s="1"/>
  <c r="I62" i="2"/>
  <c r="K62" i="2" s="1"/>
  <c r="F126" i="2"/>
  <c r="K67" i="2"/>
  <c r="J117" i="2"/>
  <c r="K109" i="2"/>
  <c r="E121" i="2"/>
  <c r="I121" i="2" s="1"/>
  <c r="E119" i="2"/>
  <c r="I119" i="2" s="1"/>
  <c r="J37" i="2"/>
  <c r="F37" i="2"/>
  <c r="H32" i="2"/>
  <c r="I32" i="2"/>
  <c r="K32" i="2" s="1"/>
  <c r="B7" i="4"/>
  <c r="H17" i="2"/>
  <c r="I17" i="2"/>
  <c r="K17" i="2" s="1"/>
  <c r="H72" i="2"/>
  <c r="I72" i="2"/>
  <c r="K72" i="2" s="1"/>
  <c r="H57" i="2"/>
  <c r="I57" i="2"/>
  <c r="K57" i="2" s="1"/>
  <c r="H42" i="2"/>
  <c r="I42" i="2"/>
  <c r="K42" i="2" s="1"/>
  <c r="H52" i="2"/>
  <c r="I52" i="2"/>
  <c r="K52" i="2" s="1"/>
  <c r="H47" i="2"/>
  <c r="I47" i="2"/>
  <c r="K47" i="2" s="1"/>
  <c r="I77" i="2"/>
  <c r="K77" i="2" s="1"/>
  <c r="H77" i="2"/>
  <c r="I86" i="2"/>
  <c r="K86" i="2" s="1"/>
  <c r="H86" i="2"/>
  <c r="I102" i="2"/>
  <c r="K102" i="2" s="1"/>
  <c r="H102" i="2"/>
  <c r="I115" i="2" l="1"/>
  <c r="K115" i="2" s="1"/>
  <c r="H126" i="2"/>
  <c r="I126" i="2"/>
  <c r="K126" i="2" s="1"/>
  <c r="I112" i="2"/>
  <c r="K112" i="2" s="1"/>
  <c r="I122" i="2"/>
  <c r="K122" i="2" s="1"/>
  <c r="E1" i="2"/>
  <c r="F117" i="2"/>
  <c r="J129" i="2"/>
  <c r="H37" i="2"/>
  <c r="I37" i="2"/>
  <c r="K37" i="2" s="1"/>
  <c r="I117" i="2" l="1"/>
  <c r="H117" i="2"/>
  <c r="K117" i="2" l="1"/>
  <c r="I129" i="2"/>
  <c r="K129" i="2" s="1"/>
  <c r="K130" i="2" s="1"/>
</calcChain>
</file>

<file path=xl/sharedStrings.xml><?xml version="1.0" encoding="utf-8"?>
<sst xmlns="http://schemas.openxmlformats.org/spreadsheetml/2006/main" count="569" uniqueCount="261">
  <si>
    <t>Наименование этапов Работ</t>
  </si>
  <si>
    <t>КВ М</t>
  </si>
  <si>
    <t>04.07.02.01</t>
  </si>
  <si>
    <t>МП</t>
  </si>
  <si>
    <t>Статьи затрат</t>
  </si>
  <si>
    <t>Кол-во</t>
  </si>
  <si>
    <t>КГ</t>
  </si>
  <si>
    <t>КУБ</t>
  </si>
  <si>
    <t>ШТ</t>
  </si>
  <si>
    <t>Монтаж отливов подоконных из оцинкованной стали толщ. 0,7мм с порошковой окраской RAL 7024</t>
  </si>
  <si>
    <t>Устройство узла примыкания мокрого фасада к кирпичной кладке</t>
  </si>
  <si>
    <t>Угловой элемент со стеклотканевой сеткой</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</si>
  <si>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</si>
  <si>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</si>
  <si>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</si>
  <si>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</si>
  <si>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</si>
  <si>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</si>
  <si>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</si>
  <si>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</si>
  <si>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</si>
  <si>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</si>
  <si>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</si>
  <si>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</si>
  <si>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</si>
  <si>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</si>
  <si>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</si>
  <si>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</si>
  <si>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</si>
  <si>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</si>
  <si>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</si>
  <si>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</si>
  <si>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</si>
  <si>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</si>
  <si>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</si>
  <si>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</si>
  <si>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</si>
  <si>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</si>
  <si>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</si>
  <si>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</si>
  <si>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</si>
  <si>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</si>
  <si>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</si>
  <si>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</si>
  <si>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</si>
  <si>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</si>
  <si>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</si>
  <si>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</si>
  <si>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</si>
  <si>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</si>
  <si>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</si>
  <si>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</si>
  <si>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</si>
  <si>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</si>
  <si>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</si>
  <si>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</si>
  <si>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</si>
  <si>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</si>
  <si>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</si>
  <si>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</si>
  <si>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</si>
  <si>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</si>
  <si>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</si>
  <si>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</si>
  <si>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</si>
  <si>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</si>
  <si>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</si>
  <si>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</si>
  <si>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</si>
  <si>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</si>
  <si>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</si>
  <si>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</si>
  <si>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</si>
  <si>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</si>
  <si>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</si>
  <si>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</si>
  <si>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</si>
  <si>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</si>
  <si>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</si>
  <si>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</si>
  <si>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</si>
  <si>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</si>
  <si>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</si>
  <si>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</si>
  <si>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</si>
  <si>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</si>
  <si>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</si>
  <si>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</si>
  <si>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</si>
  <si>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</si>
  <si>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</si>
  <si>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</si>
  <si>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</si>
  <si>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</si>
  <si>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</si>
  <si>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</si>
  <si>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</si>
  <si>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</si>
  <si>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</si>
  <si>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</si>
  <si>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</si>
  <si>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91</t>
  </si>
  <si>
    <t>92</t>
  </si>
  <si>
    <t>93</t>
  </si>
  <si>
    <t>94</t>
  </si>
  <si>
    <t>95</t>
  </si>
  <si>
    <t>96</t>
  </si>
  <si>
    <t>98</t>
  </si>
  <si>
    <t>99</t>
  </si>
  <si>
    <t>100</t>
  </si>
  <si>
    <t>101</t>
  </si>
  <si>
    <t>102</t>
  </si>
  <si>
    <t>103</t>
  </si>
  <si>
    <t>104</t>
  </si>
  <si>
    <t>105</t>
  </si>
  <si>
    <t>106</t>
  </si>
  <si>
    <t>107</t>
  </si>
  <si>
    <t>108</t>
  </si>
  <si>
    <t>109</t>
  </si>
  <si>
    <t>110</t>
  </si>
  <si>
    <t>111</t>
  </si>
  <si>
    <t>112</t>
  </si>
  <si>
    <t>113</t>
  </si>
  <si>
    <t>114</t>
  </si>
  <si>
    <t>115</t>
  </si>
  <si>
    <t>116</t>
  </si>
  <si>
    <t>117</t>
  </si>
  <si>
    <t>Угловой элемент со стеклотканевой сеткой и капельником</t>
  </si>
  <si>
    <t>Уплотнительная лента</t>
  </si>
  <si>
    <t>Фасадный герметик weber.fug 881 в цвет фасада (0,31л на емкость)</t>
  </si>
  <si>
    <t>Деформационный элемент (Плоскостной)</t>
  </si>
  <si>
    <t>Устройство вертикального деформационного шва между секциями (мокрый фасад/кирпичная кладка)</t>
  </si>
  <si>
    <t>Устройство вертикального деформационного шва между секциями (лист 17 АТР)</t>
  </si>
  <si>
    <t>Монтаж отливов из оцинкованной стали толщ. 0,55мм с порошковой окраской RAL 7024. В местах парепада фасада</t>
  </si>
  <si>
    <t>Отлив шириной 270мм из оцинкованной стали толщ. 0,55мм с порошковой окраской RAL 7024</t>
  </si>
  <si>
    <t>Отлив шириной 290мм из оцинкованной стали толщ. 0,55мм с порошковой окраской RAL 7024</t>
  </si>
  <si>
    <t>Отлив шириной 350мм из оцинкованной стали толщ. 0,55мм с порошковой окраской RAL 7024</t>
  </si>
  <si>
    <t>Отлив подоконный шириной 300мм из оцинкованной стали толщ. 0,7мм с порошковой окраской RAL 7024. (ТИП СТЕН 5)</t>
  </si>
  <si>
    <t>Отлив подоконный шириной 330мм из оцинкованной стали толщ. 0,7мм с порошковой окраской RAL 7024. (ТИП СТЕН 3, 8)</t>
  </si>
  <si>
    <t>Отлив подоконный шириной 370мм из оцинкованной стали толщ. 0,7мм с порошковой окраской RAL 7024. (ТИП СТЕН 4)</t>
  </si>
  <si>
    <t>Отлив подоконный шириной 380мм из оцинкованной стали толщ. 0,7мм с порошковой окраской RAL 7024. (ТИП СТЕН 1)</t>
  </si>
  <si>
    <t>№ п/п</t>
  </si>
  <si>
    <t>04.07.06</t>
  </si>
  <si>
    <t>04.07.07.01.</t>
  </si>
  <si>
    <t>04.07.05</t>
  </si>
  <si>
    <t>Основной фасад</t>
  </si>
  <si>
    <t>Надстройки</t>
  </si>
  <si>
    <t>Балконы и Лоджии</t>
  </si>
  <si>
    <t>K</t>
  </si>
  <si>
    <t>L</t>
  </si>
  <si>
    <t>M</t>
  </si>
  <si>
    <t>N</t>
  </si>
  <si>
    <t>Q</t>
  </si>
  <si>
    <t>ИТОГО:</t>
  </si>
  <si>
    <t>2-й этап</t>
  </si>
  <si>
    <t>1-й этап</t>
  </si>
  <si>
    <t>Тип фасада</t>
  </si>
  <si>
    <t>ИТОГО, КВ М:</t>
  </si>
  <si>
    <t>Стоимость ед-цы, руб.</t>
  </si>
  <si>
    <t>Стоимость всего , руб.</t>
  </si>
  <si>
    <t>Материалы</t>
  </si>
  <si>
    <t>СМР</t>
  </si>
  <si>
    <t>Всего</t>
  </si>
  <si>
    <t>Ед. 
изм.</t>
  </si>
  <si>
    <t>КАРТА-ОФЕРТА</t>
  </si>
  <si>
    <t xml:space="preserve">«Многоквартирный жилой дом со встроенно-пристроенными помещениями, встроенными объектами образования и просвещения </t>
  </si>
  <si>
    <t>и встроенно-пристроенной подземной автостоянкой по адресу: г. Санкт-Петербург, Лиговский проспект, 271, литера А". 1-й, 2-й этапы строительства. Секции K, L, M, N, Q</t>
  </si>
  <si>
    <t xml:space="preserve">на выполнение комплекса работ по устройству штукатурного фасада на объекте: </t>
  </si>
  <si>
    <t>Обязательно к заполнению:</t>
  </si>
  <si>
    <t>Условия оплаты</t>
  </si>
  <si>
    <t>Срок выполнения работ</t>
  </si>
  <si>
    <t>Применяемая техника</t>
  </si>
  <si>
    <t xml:space="preserve">ПРИМЕЧАНИЕ: </t>
  </si>
  <si>
    <t xml:space="preserve">Внесение изменений в данное коммерческое предложение  (виды работ, объемы, примечание, форматирование и т.д.) НЕ ДОПУСКАЕТСЯ. </t>
  </si>
  <si>
    <t>Подрядчик осуществляет вывоз мусора образовавшийся в процессе выполнения работ.</t>
  </si>
  <si>
    <t xml:space="preserve">С  типовой формой договора ознакомлены. Условия предоставленного договора приемлемы и дополнительному обсуждению не подлежат. В случае признания победителем тендера согласны подписать договор подряда. </t>
  </si>
  <si>
    <t>С объектом в части предмета торгов и условиями проведения работ ознакомлены.</t>
  </si>
  <si>
    <t>в т.ч. НДС 20%</t>
  </si>
  <si>
    <t>Основные материалы Заказчик оплачивает по распред.письмам. Без аванса на СМР и прочие материалы.</t>
  </si>
  <si>
    <t>Гарантийное удержание по условиям договора</t>
  </si>
  <si>
    <t>Количество рабочих на объекте (предполагаемое)</t>
  </si>
  <si>
    <t>Мобилизация на объекте (в теч. какого времени после принятия решения)</t>
  </si>
  <si>
    <t>Гарантийный срок</t>
  </si>
  <si>
    <t>6 лет</t>
  </si>
  <si>
    <t>Предварительное посещение площадки</t>
  </si>
  <si>
    <t>Готовность подписать договор по форме Заказчика</t>
  </si>
  <si>
    <t>Готовность подписать договор поручительства (при оплате основных материалов Заказчиком)</t>
  </si>
  <si>
    <t xml:space="preserve">В данной карте-оферты  учтены все условия и требования, перечисленные в Техническом  задании и необходимые для выполнения полного комплекса работ (в т.ч.  вспомогательные и расходные материалы, затраты на устройство площадок под складирование, затраты на машины и механизмы, накладные и плановые расходы и пр.). 
</t>
  </si>
  <si>
    <t>Предложенная цена включает все налоги и сборы (в том числе НДС 20%)</t>
  </si>
  <si>
    <t>Объемы, указанные в данном расчете, могут уточняться после получения новой версии ПД.</t>
  </si>
  <si>
    <t>Обороты компании за2018 г. / 2017г. / 2016г. / 2015г.</t>
  </si>
  <si>
    <t>Утепление стен плитами из каменной ваты марки PAROC Linio 15 толщиной 50мм с установкой  тарельчатых  дюбелей c распорным элементом ROCKWOOL TERMOCLIP - СТЕНА 1MТ 120, подготовкой поверхностей грунтовкой Baumit Grund и клеевым составом Baumit NivoFix. Основной фасад</t>
  </si>
  <si>
    <t>Утеплитель PAROC Linio 15 толщиной 50мм, плотностью не менее 110 кг/м³ на основе каменной ваты группы НГ (ГОСТ 30244-94) с прочностью на разрыв слоев не менее 15 кПа (ГОСТ Р ЕН 1607) теплопроводностью не более 0,043 Вт/(м*К) (ГОСТ 7076, СП 23-101-2004)</t>
  </si>
  <si>
    <t>Клеевой состав Baumit NivoFix</t>
  </si>
  <si>
    <t>грунтовка Baumit Grund</t>
  </si>
  <si>
    <t>Дюбель со стальным стержнем с термоголовкой TERMOCLIP - СТЕНА 1MТ 120</t>
  </si>
  <si>
    <t>Утепление стен плитами из каменной ваты марки PAROC Linio 15 толщиной 50мм с установкой  тарельчатых  дюбелей c распорным элементом ROCKWOOL TERMOCLIP - СТЕНА 1MТ 120, подготовкой поверхностей грунтовкой Baumit Grund и клеевым составом Baumit NivoFix. Балконы и Лоджии</t>
  </si>
  <si>
    <t>Утепление стен плитами из каменной ваты марки PAROC Linio 15 толщиной 80мм, с установкой  тарельчатых  дюбелей c распорным элементом ROCKWOOL TERMOCLIP - СТЕНА 1MТ 120, подготовкой поверхностей грунтовкой Baumit Grund и клеевым составом Baumit NivoFix. Основной фасад</t>
  </si>
  <si>
    <t>Утеплитель PAROC Linio 15 толщиной 80мм, плотностью не менее 110 кг/м³ на основе каменной ваты группы НГ (ГОСТ 30244-94) с прочностью на разрыв слоев не менее 15 кПа (ГОСТ Р ЕН 1607) теплопроводностью не более 0,043 Вт/(м*К) (ГОСТ 7076, СП 23-101-2004)</t>
  </si>
  <si>
    <t>Утепление стен плитами из каменной ваты марки PAROC Linio 15 толщиной 100мм, с установкой  тарельчатых  дюбелей c распорным элементом ROCKWOOL TERMOCLIP - СТЕНА 1MТ 140, подготовкой поверхностей грунтовкой Baumit Grund и клеевым составом Baumit NivoFix. Балконы и Лоджии</t>
  </si>
  <si>
    <t>Утеплитель PAROC Linio 15 толщиной 100мм, плотностью не менее 110 кг/м³ на основе каменной ваты группы НГ (ГОСТ 30244-94) с прочностью на разрыв слоев не менее 15 кПа (ГОСТ Р ЕН 1607) теплопроводностью не более 0,043 Вт/(м*К) (ГОСТ 7076, СП 23-101-2004)</t>
  </si>
  <si>
    <t>Дюбель со стальным стержнем с термоголовкой TERMOCLIP - СТЕНА 1MТ 140</t>
  </si>
  <si>
    <t>Утепление стен плитами из каменной ваты марки PAROC Linio 15 толщиной 120мм, с установкой  тарельчатых  дюбелей c распорным элементом ROCKWOOL TERMOCLIP - СТЕНА 1MТ 180, подготовкой поверхностей грунтовкой Baumit Grund и клеевым составом Baumit NivoFix. Основной фасад</t>
  </si>
  <si>
    <t>Утеплитель PAROC Linio 15 толщиной 120мм, плотностью не менее 110 кг/м³ на основе каменной ваты группы НГ (ГОСТ 30244-94) с прочностью на разрыв слоев не менее 15 кПа (ГОСТ Р ЕН 1607) теплопроводностью не более 0,043 Вт/(м*К) (ГОСТ 7076, СП 23-101-2004)</t>
  </si>
  <si>
    <t>Дюбель со стальным стержнем с термоголовкой TERMOCLIP - СТЕНА 1MТ 180</t>
  </si>
  <si>
    <t>Утепление стен плитами из каменной ваты марки PAROC Linio 15 толщиной 130мм, с установкой  тарельчатых  дюбелей c распорным элементом ROCKWOOL TERMOCLIP - СТЕНА 1MТ 180, подготовкой поверхностей грунтовкой Baumit Grund и клеевым составом Baumit NivoFix. Основной фасад</t>
  </si>
  <si>
    <t>Утеплитель PAROC Linio 15 толщиной 130мм, плотностью не менее 110 кг/м³ на основе каменной ваты группы НГ (ГОСТ 30244-94) с прочностью на разрыв слоев не менее 15 кПа (ГОСТ Р ЕН 1607) теплопроводностью не более 0,043 Вт/(м*К) (ГОСТ 7076, СП 23-101-2004)</t>
  </si>
  <si>
    <t>Утепление потолка плитами из каменной ваты марки PAROC Linio 15 толщиной 130мм, с установкой  тарельчатых  дюбелей c распорным элементом ROCKWOOL TERMOCLIP - СТЕНА 1MТ 180, подготовкой поверхностей грунтовкой Baumit Grund и клеевым составом Baumit NivoFix. Секция N. Арка</t>
  </si>
  <si>
    <t>Утепление стен плитами из каменной ваты марки PAROC Linio 15 толщиной 130мм, с установкой  тарельчатых  дюбелей c распорным элементом ROCKWOOL TERMOCLIP - СТЕНА 1MТ 180, подготовкой поверхностей грунтовкой Baumit Grund и клеевым составом Baumit NivoFix. Балконы и Лоджии</t>
  </si>
  <si>
    <t>Утепление стен плитами из каменной ваты марки PAROC Linio 15 толщиной 150мм, с установкой  тарельчатых  дюбелей c распорным элементом ROCKWOOL TERMOCLIP - СТЕНА 1MТ 200, подготовкой поверхностей грунтовкой Baumit Grund и клеевым составом Baumit NivoFix. Лоджии и Балконы</t>
  </si>
  <si>
    <t>Утеплитель PAROC Linio 15 толщиной 150мм, плотностью не менее 110 кг/м³ на основе каменной ваты группы НГ (ГОСТ 30244-94) с прочностью на разрыв слоев не менее 15 кПа (ГОСТ Р ЕН 1607) теплопроводностью не более 0,043 Вт/(м*К) (ГОСТ 7076, СП 23-101-2004)</t>
  </si>
  <si>
    <t>Дюбель со стальным стержнем с термоголовкой TERMOCLIP - СТЕНА 1MТ 200</t>
  </si>
  <si>
    <t>Утепление стен плитами из каменной ваты марки PAROC Linio 15 толщиной 160мм, с установкой  тарельчатых  дюбелей c распорным элементом ROCKWOOL TERMOCLIP - СТЕНА 1MТ 220, подготовкой поверхностей грунтовкой Baumit Grund и клеевым составом Baumit NivoFix. Основной фасад</t>
  </si>
  <si>
    <t>Утеплитель PAROC Linio 15 толщиной 160мм, плотностью не менее 110 кг/м³ на основе каменной ваты группы НГ (ГОСТ 30244-94) с прочностью на разрыв слоев не менее 15 кПа (ГОСТ Р ЕН 1607) теплопроводностью не более 0,043 Вт/(м*К) (ГОСТ 7076, СП 23-101-2004)</t>
  </si>
  <si>
    <t>Дюбель со стальным стержнем с термоголовкой TERMOCLIP - СТЕНА 1MТ 220</t>
  </si>
  <si>
    <t>Утепление стен плитами из каменной ваты марки PAROC Linio 15 толщиной 200мм, с установкой  тарельчатых  дюбелей c распорным элементом ROCKWOOL TERMOCLIP - СТЕНА 1MТ 260, подготовкой поверхностей грунтовкой Baumit Grund и клеевым составом Baumit NivoFix. Основной фасад</t>
  </si>
  <si>
    <t>Утеплитель PAROC Linio 15 толщиной 200мм, плотностью не менее 110 кг/м³ на основе каменной ваты группы НГ (ГОСТ 30244-94) с прочностью на разрыв слоев не менее 15 кПа (ГОСТ Р ЕН 1607) теплопроводностью не более 0,043 Вт/(м*К) (ГОСТ 7076, СП 23-101-2004)</t>
  </si>
  <si>
    <t>Дюбель со стальным стержнем с термоголовкой TERMOCLIP - СТЕНА 1MТ 260</t>
  </si>
  <si>
    <t>Утепление стен плитами из каменной ваты марки PAROC Linio 15 толщиной 200мм, с установкой  тарельчатых  дюбелей c распорным элементом ROCKWOOL TERMOCLIP - СТЕНА 1MТ 260, подготовкой поверхностей грунтовкой Baumit Grund и клеевым составом Baumit NivoFix. Лоджии и Балконы</t>
  </si>
  <si>
    <t>Утепление откосов шириной 100мм плитами из каменной ваты марки PAROC Linio 15  толщиной 50мм с установкой  тарельчатых  дюбелей c распорным элементом ROCKWOOL TERMOCLIP - СТЕНА 1MТ 120, подготовкой поверхностей грунтовкой Baumit Grund и клеевым составом Baumit NivoFix</t>
  </si>
  <si>
    <t>Утепление откосов шириной 240мм плитами из каменной ваты марки PAROC Linio 15  толщиной 50мм с установкой  тарельчатых  дюбелей c распорным элементом ROCKWOOL TERMOCLIP - СТЕНА 1MТ 120, подготовкой поверхностей грунтовкой Baumit Grund и клеевым составом Baumit NivoFix</t>
  </si>
  <si>
    <t>Устройство отделки стен клеевым составом Baumit DuoContact толщиной 5мм армированной сеткой из стекловолокна Baumit StarTex 160. Лоджии и балконы</t>
  </si>
  <si>
    <t>Клеевой состав Baumit DuoContact</t>
  </si>
  <si>
    <t>Сетка армирующая фасадная Baumit StarTex 160 165г/кв.м.</t>
  </si>
  <si>
    <t>Устройство декоративной тонкослойной штукатурки Baumit Classico Special "камешковая" 1,5мм стен  по системе Baumit толщиной 8мм (на клеевом составе Baumit DuoContact, армированным сеткой Baumit StarTex 160, по подготовленной поверхности грунтовкой Baumit UniPrimer), с покрытием фасадной  краской Baumit SilikatColor RAL 7035 в 2 слоя (Цвет согласовывается заказчиком). Основной фасад</t>
  </si>
  <si>
    <t>грунтовка Baumit UniPrimer</t>
  </si>
  <si>
    <t>Декоративная штукатурка Baumit Classico Special "камешковая" 1,5мм</t>
  </si>
  <si>
    <t>Краска фасадная Baumit SilikatColor RAL 7035 в 2 слоя (цвет уточняется с заказчиком)</t>
  </si>
  <si>
    <t>Л</t>
  </si>
  <si>
    <t>Устройство декоративной тонкослойной штукатурки Baumit Classico Special "камешковая" 1,5мм стен  по системе Baumit толщиной 8мм (на клеевом составе Baumit DuoContact, армированным сеткой Baumit StarTex 160 160, по подготовленной поверхности грунтовкой Baumit UniPrimer), с покрытием фасадной  краской Baumit SilikatColor RAL 7035 в 2 слоя (Цвет согласовывается заказчиком). Секция N. Арка</t>
  </si>
  <si>
    <t>Устройство декоративной тонкослойной штукатурки Baumit Classico Special "камешковая" 1,5мм откосов  по системе Baumit толщиной 8мм (на клеевом составе Baumit DuoContact, армированным сеткой Baumit StarTex 160, по подготовленной поверхности грунтовкой Baumit UniPrimer), с покрытием фасадной  краской Baumit SilikatColor  RAL 7035 в 2 слоя (Цвет согласовывается заказчиком). Основной фасад</t>
  </si>
  <si>
    <t>Устройство отделки откосов шириной от 30мм до 300мм клеевым составом Baumit DuoContact толщиной 5мм армированной сеткой Baumit StarTex 160. Лоджии и Балконы</t>
  </si>
  <si>
    <t>л</t>
  </si>
  <si>
    <t>100 календарных дней</t>
  </si>
  <si>
    <t>Указать ИТР: 2 чел, Рабочих: 15 чел</t>
  </si>
  <si>
    <t>нет</t>
  </si>
  <si>
    <t>10 календарных дней</t>
  </si>
  <si>
    <t>посещали</t>
  </si>
  <si>
    <t>готовы</t>
  </si>
  <si>
    <t>46 440 953 / 63 175 554 / 66 790 216</t>
  </si>
  <si>
    <t>Наименование компании:  ООО "Стройресурс"</t>
  </si>
  <si>
    <t>Исполнитель, контактный тел.:  Инженер ПТО Заводнов Михаил +7-965-761-58-23</t>
  </si>
  <si>
    <t>Генеральный директор ООО "Стройресурс" Байков С.В.</t>
  </si>
  <si>
    <t>Генеральный директор: Байков С.В.</t>
  </si>
  <si>
    <t>№</t>
  </si>
  <si>
    <t>Наименование работ</t>
  </si>
  <si>
    <t>Ед. изм.</t>
  </si>
  <si>
    <t>Объем</t>
  </si>
  <si>
    <t>м2</t>
  </si>
  <si>
    <t>Комплекс работ по устройству наружной отделки фасада</t>
  </si>
  <si>
    <t>Корпус 2</t>
  </si>
  <si>
    <t>Корпус 4</t>
  </si>
  <si>
    <t>Установка лесов, грунтование, монтаж утеплителя с креплением дюбелями, устройство армирующего слоя, в т.ч. откосы</t>
  </si>
  <si>
    <t>Окраска, в т.ч. откосы, демонтаж лесов</t>
  </si>
  <si>
    <t>Цена за ед. изм материал, рубл.</t>
  </si>
  <si>
    <t>Цена за ед. изм работа, рубл.</t>
  </si>
  <si>
    <t>Цена материал, рубл.</t>
  </si>
  <si>
    <t>Цена работа, рубл.</t>
  </si>
  <si>
    <t>ИТОГО</t>
  </si>
  <si>
    <t>Устройство декоративного штукатурного слоя, в т.ч. откосы</t>
  </si>
  <si>
    <t>Форма КП по устройству наружной отделки фасадов 2х-4х этажей к.2, к.4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</si>
</sst>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_р_._-;\-* #,##0.00_р_._-;_-* &quot;-&quot;??_р_._-;_-@_-"/>
    <numFmt numFmtId="165" formatCode="_-* #,##0.00\ _₽_-;\-* #,##0.00\ _₽_-;_-* &quot;-&quot;??\ _₽_-;_-@_-"/>
  </numFmts>
  <fonts count="3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b/>
      <sz val="12"/>
      <name val="Times"/>
      <family val="1"/>
    </font>
    <font>
      <sz val="11"/>
      <name val="Times"/>
      <family val="1"/>
    </font>
    <font>
      <sz val="11"/>
      <color rgb="FFFF0000"/>
      <name val="Calibri"/>
      <family val="2"/>
      <scheme val="minor"/>
    </font>
    <font>
      <b/>
      <sz val="11"/>
      <color rgb="FFFF0000"/>
      <name val="Calibri"/>
      <family val="2"/>
      <scheme val="minor"/>
    </font>
    <font>
      <b/>
      <sz val="11"/>
      <name val="Times"/>
      <family val="1"/>
    </font>
    <font>
      <sz val="12"/>
      <name val="Times"/>
      <family val="1"/>
    </font>
    <font>
      <sz val="11"/>
      <name val="Times New Roman"/>
      <family val="1"/>
      <charset val="204"/>
    </font>
    <font>
      <sz val="11"/>
      <color indexed="8"/>
      <name val="Calibri"/>
      <family val="2"/>
    </font>
    <font>
      <b/>
      <sz val="14"/>
      <name val="Times"/>
      <family val="1"/>
    </font>
    <font>
      <b/>
      <sz val="12"/>
      <name val="Times New Roman"/>
      <family val="1"/>
      <charset val="204"/>
    </font>
    <font>
      <sz val="12"/>
      <color theme="1"/>
      <name val="Times New Roman"/>
      <family val="1"/>
      <charset val="204"/>
    </font>
    <font>
      <b/>
      <sz val="20"/>
      <color theme="1"/>
      <name val="Times New Roman"/>
      <family val="1"/>
      <charset val="204"/>
    </font>
    <font>
      <sz val="12"/>
      <name val="Times New Roman"/>
      <family val="1"/>
      <charset val="204"/>
    </font>
    <font>
      <sz val="11"/>
      <color theme="1"/>
      <name val="Times New Roman"/>
      <family val="1"/>
      <charset val="204"/>
    </font>
    <font>
      <sz val="12"/>
      <name val="Arial"/>
      <family val="2"/>
      <charset val="204"/>
    </font>
    <font>
      <sz val="12"/>
      <color theme="1"/>
      <name val="Calibri"/>
      <family val="2"/>
      <scheme val="minor"/>
    </font>
    <font>
      <sz val="12"/>
      <color rgb="FFFF0000"/>
      <name val="Arial"/>
      <family val="2"/>
      <charset val="204"/>
    </font>
    <font>
      <sz val="12"/>
      <color indexed="8"/>
      <name val="Arial"/>
      <family val="2"/>
      <charset val="204"/>
    </font>
    <font>
      <sz val="11"/>
      <color theme="1"/>
      <name val="Times"/>
      <family val="1"/>
    </font>
    <font>
      <b/>
      <sz val="12"/>
      <color theme="1"/>
      <name val="Times"/>
      <family val="1"/>
    </font>
    <font>
      <sz val="12"/>
      <color theme="1"/>
      <name val="Times"/>
      <family val="1"/>
    </font>
    <font>
      <b/>
      <sz val="11"/>
      <color theme="1"/>
      <name val="Times"/>
      <family val="1"/>
    </font>
    <font>
      <b/>
      <sz val="14"/>
      <color theme="1"/>
      <name val="Times"/>
      <family val="1"/>
    </font>
    <font>
      <b/>
      <sz val="12"/>
      <color theme="1"/>
      <name val="Times New Roman"/>
      <family val="1"/>
      <charset val="204"/>
    </font>
    <font>
      <b/>
      <sz val="12"/>
      <color theme="1"/>
      <name val="Arial"/>
      <family val="2"/>
      <charset val="204"/>
    </font>
    <font>
      <sz val="12"/>
      <color theme="1"/>
      <name val="Arial"/>
      <family val="2"/>
      <charset val="204"/>
    </font>
    <font>
      <sz val="10"/>
      <name val="Arial Cyr"/>
      <charset val="204"/>
    </font>
    <font>
      <sz val="10"/>
      <name val="Times New Roman"/>
      <family val="1"/>
      <charset val="204"/>
    </font>
    <font>
      <b/>
      <sz val="11"/>
      <name val="Times New Roman"/>
      <family val="1"/>
      <charset val="204"/>
    </font>
    <font>
      <b/>
      <sz val="10"/>
      <name val="Times New Roman"/>
      <family val="1"/>
      <charset val="204"/>
    </font>
    <font>
      <sz val="10"/>
      <name val="Arial"/>
      <family val="2"/>
      <charset val="204"/>
    </font>
    <font>
      <sz val="11"/>
      <color theme="1"/>
      <name val="Calibri"/>
      <family val="2"/>
      <scheme val="minor"/>
    </font>
    <font>
      <b/>
      <sz val="11"/>
      <color theme="1"/>
      <name val="Calibri"/>
      <family val="2"/>
      <charset val="204"/>
      <scheme val="minor"/>
    </font>
  </fonts>
  <fills count="9">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
      <patternFill patternType="solid">
        <fgColor rgb="FFFFFF00"/>
        <bgColor indexed="64"/>
      </patternFill>
    </fill>
    <fill>
      <patternFill patternType="solid">
        <fgColor theme="5" tint="0.79998168889431442"/>
        <bgColor indexed="64"/>
      </patternFill>
    </fill>
    <fill>
      <patternFill patternType="solid">
        <fgColor indexed="9"/>
        <bgColor indexed="64"/>
      </patternFill>
    </fill>
    <fill>
      <patternFill patternType="solid">
        <fgColor rgb="FF92D050"/>
        <bgColor indexed="64"/>
      </patternFill>
    </fill>
    <fill>
      <patternFill patternType="solid">
        <fgColor theme="0" tint="-0.249977111117893"/>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s>
  <cellStyleXfs count="10">
    <xf numFmtId="0" fontId="0" fillId="0" borderId="0"/>
    <xf numFmtId="164" fontId="10" fillId="0" borderId="0" applyFont="0" applyFill="0" applyBorder="0" applyAlignment="0" applyProtection="0"/>
    <xf numFmtId="0" fontId="29" fillId="0" borderId="0"/>
    <xf numFmtId="0" fontId="29" fillId="0" borderId="0"/>
    <xf numFmtId="0" fontId="29" fillId="0" borderId="0"/>
    <xf numFmtId="164" fontId="29" fillId="0" borderId="0" applyFont="0" applyFill="0" applyBorder="0" applyAlignment="0" applyProtection="0"/>
    <xf numFmtId="0" fontId="33" fillId="0" borderId="0"/>
    <xf numFmtId="0" fontId="2" fillId="0" borderId="0"/>
    <xf numFmtId="0" fontId="1" fillId="0" borderId="0"/>
    <xf numFmtId="43" fontId="34" fillId="0" borderId="0" applyFont="0" applyFill="0" applyBorder="0" applyAlignment="0" applyProtection="0"/>
  </cellStyleXfs>
  <cellXfs count="202">
    <xf numFmtId="0" fontId="0" fillId="0" borderId="0" xfId="0"/>
    <xf numFmtId="4" fontId="0" fillId="0" borderId="1" xfId="0" applyNumberFormat="1" applyBorder="1"/>
    <xf numFmtId="4" fontId="0" fillId="0" borderId="3" xfId="0" applyNumberFormat="1" applyBorder="1"/>
    <xf numFmtId="4" fontId="0" fillId="0" borderId="9" xfId="0" applyNumberFormat="1" applyBorder="1"/>
    <xf numFmtId="4" fontId="0" fillId="0" borderId="11" xfId="0" applyNumberFormat="1" applyBorder="1"/>
    <xf numFmtId="4" fontId="0" fillId="0" borderId="7" xfId="0" applyNumberFormat="1" applyBorder="1"/>
    <xf numFmtId="0" fontId="0" fillId="0" borderId="18" xfId="0" applyBorder="1"/>
    <xf numFmtId="4" fontId="0" fillId="0" borderId="19" xfId="0" applyNumberFormat="1" applyBorder="1"/>
    <xf numFmtId="0" fontId="0" fillId="0" borderId="17" xfId="0" applyBorder="1"/>
    <xf numFmtId="0" fontId="0" fillId="0" borderId="4" xfId="0" applyBorder="1"/>
    <xf numFmtId="4" fontId="0" fillId="0" borderId="20" xfId="0" applyNumberFormat="1" applyBorder="1"/>
    <xf numFmtId="4" fontId="0" fillId="0" borderId="8" xfId="0" applyNumberFormat="1" applyBorder="1"/>
    <xf numFmtId="4" fontId="0" fillId="0" borderId="6" xfId="0" applyNumberFormat="1" applyBorder="1"/>
    <xf numFmtId="4" fontId="0" fillId="0" borderId="2" xfId="0" applyNumberFormat="1" applyBorder="1"/>
    <xf numFmtId="4" fontId="0" fillId="0" borderId="10" xfId="0" applyNumberFormat="1" applyBorder="1"/>
    <xf numFmtId="0" fontId="0" fillId="0" borderId="22" xfId="0" applyBorder="1"/>
    <xf numFmtId="0" fontId="0" fillId="0" borderId="23" xfId="0" applyBorder="1"/>
    <xf numFmtId="0" fontId="0" fillId="0" borderId="24" xfId="0" applyBorder="1"/>
    <xf numFmtId="0" fontId="0" fillId="0" borderId="12" xfId="0" applyBorder="1" applyAlignment="1">
      <alignment horizontal="center" vertical="center"/>
    </xf>
    <xf numFmtId="0" fontId="0" fillId="0" borderId="13" xfId="0" applyBorder="1" applyAlignment="1">
      <alignment horizontal="center" vertical="center"/>
    </xf>
    <xf numFmtId="0" fontId="0" fillId="0" borderId="21" xfId="0" applyBorder="1" applyAlignment="1">
      <alignment horizontal="center" vertical="center"/>
    </xf>
    <xf numFmtId="0" fontId="5" fillId="2" borderId="5" xfId="0" applyFont="1" applyFill="1" applyBorder="1"/>
    <xf numFmtId="4" fontId="6" fillId="2" borderId="4" xfId="0" applyNumberFormat="1" applyFont="1" applyFill="1" applyBorder="1"/>
    <xf numFmtId="49" fontId="4" fillId="0" borderId="0" xfId="0" applyNumberFormat="1" applyFont="1"/>
    <xf numFmtId="49" fontId="4" fillId="0" borderId="0" xfId="0" applyNumberFormat="1" applyFont="1" applyFill="1"/>
    <xf numFmtId="49" fontId="7" fillId="3" borderId="0" xfId="0" applyNumberFormat="1" applyFont="1" applyFill="1" applyAlignment="1">
      <alignment horizontal="left" vertical="top"/>
    </xf>
    <xf numFmtId="49" fontId="4" fillId="3" borderId="0" xfId="0" applyNumberFormat="1" applyFont="1" applyFill="1"/>
    <xf numFmtId="49" fontId="7" fillId="3" borderId="0" xfId="0" applyNumberFormat="1" applyFont="1" applyFill="1"/>
    <xf numFmtId="0" fontId="3" fillId="0" borderId="0" xfId="0" applyFont="1" applyFill="1" applyBorder="1" applyAlignment="1">
      <alignment vertical="center"/>
    </xf>
    <xf numFmtId="0" fontId="8" fillId="0" borderId="0" xfId="0" applyFont="1" applyFill="1" applyAlignment="1">
      <alignment horizontal="center" vertical="center"/>
    </xf>
    <xf numFmtId="2" fontId="3" fillId="0" borderId="0" xfId="0" applyNumberFormat="1" applyFont="1" applyFill="1" applyBorder="1" applyAlignment="1">
      <alignment vertical="center"/>
    </xf>
    <xf numFmtId="0" fontId="3" fillId="0" borderId="0" xfId="0" applyFont="1" applyFill="1" applyBorder="1" applyAlignment="1">
      <alignment vertical="center" wrapText="1"/>
    </xf>
    <xf numFmtId="2" fontId="3" fillId="0" borderId="0" xfId="0" applyNumberFormat="1" applyFont="1" applyFill="1" applyBorder="1" applyAlignment="1">
      <alignment vertical="center" wrapText="1"/>
    </xf>
    <xf numFmtId="3" fontId="4" fillId="0" borderId="1" xfId="0" applyNumberFormat="1" applyFont="1" applyFill="1" applyBorder="1" applyAlignment="1">
      <alignment horizontal="center" vertical="center" wrapText="1"/>
    </xf>
    <xf numFmtId="0" fontId="8" fillId="0" borderId="0" xfId="0" applyFont="1" applyFill="1"/>
    <xf numFmtId="49" fontId="8" fillId="0" borderId="0" xfId="0" applyNumberFormat="1" applyFont="1" applyFill="1"/>
    <xf numFmtId="0" fontId="8" fillId="0" borderId="0" xfId="0" applyFont="1" applyFill="1" applyBorder="1"/>
    <xf numFmtId="2" fontId="8" fillId="0" borderId="0" xfId="0" applyNumberFormat="1" applyFont="1" applyFill="1"/>
    <xf numFmtId="49" fontId="7" fillId="0" borderId="0" xfId="0" applyNumberFormat="1" applyFont="1" applyFill="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0" xfId="0" applyNumberFormat="1" applyFont="1" applyFill="1" applyAlignment="1">
      <alignment horizontal="center" vertical="center" wrapText="1"/>
    </xf>
    <xf numFmtId="49" fontId="4" fillId="0" borderId="0" xfId="0" applyNumberFormat="1" applyFont="1" applyFill="1" applyAlignment="1">
      <alignment horizontal="center" vertical="center"/>
    </xf>
    <xf numFmtId="49" fontId="4" fillId="0" borderId="0" xfId="0" applyNumberFormat="1" applyFont="1" applyFill="1" applyBorder="1" applyAlignment="1">
      <alignment horizontal="center" vertical="center"/>
    </xf>
    <xf numFmtId="2" fontId="4" fillId="0" borderId="0" xfId="0" applyNumberFormat="1" applyFont="1" applyFill="1"/>
    <xf numFmtId="4" fontId="3" fillId="0" borderId="1" xfId="0" applyNumberFormat="1" applyFont="1" applyFill="1" applyBorder="1" applyAlignment="1">
      <alignment horizontal="center" vertical="center" wrapText="1"/>
    </xf>
    <xf numFmtId="4" fontId="7" fillId="3" borderId="1" xfId="0" applyNumberFormat="1" applyFont="1" applyFill="1" applyBorder="1" applyAlignment="1">
      <alignment horizontal="center" vertical="center"/>
    </xf>
    <xf numFmtId="4" fontId="4" fillId="0" borderId="1" xfId="0" applyNumberFormat="1" applyFont="1" applyBorder="1" applyAlignment="1">
      <alignment horizontal="center" vertical="center"/>
    </xf>
    <xf numFmtId="4" fontId="4" fillId="0" borderId="1" xfId="0" applyNumberFormat="1" applyFont="1" applyFill="1" applyBorder="1" applyAlignment="1">
      <alignment horizontal="center" vertical="center"/>
    </xf>
    <xf numFmtId="49" fontId="4" fillId="0" borderId="0" xfId="0" applyNumberFormat="1" applyFont="1" applyAlignment="1">
      <alignment horizontal="center" vertical="center"/>
    </xf>
    <xf numFmtId="49" fontId="8" fillId="0" borderId="0" xfId="0" applyNumberFormat="1" applyFont="1" applyFill="1" applyAlignment="1">
      <alignment horizontal="center" vertical="center"/>
    </xf>
    <xf numFmtId="4" fontId="4" fillId="0" borderId="3" xfId="0" applyNumberFormat="1" applyFont="1" applyBorder="1" applyAlignment="1">
      <alignment horizontal="center" vertical="center"/>
    </xf>
    <xf numFmtId="4" fontId="11" fillId="0" borderId="4" xfId="0" applyNumberFormat="1" applyFont="1" applyBorder="1" applyAlignment="1">
      <alignment horizontal="center" vertical="center"/>
    </xf>
    <xf numFmtId="4" fontId="4" fillId="0" borderId="4" xfId="0" applyNumberFormat="1" applyFont="1" applyBorder="1" applyAlignment="1">
      <alignment horizontal="center" vertical="center"/>
    </xf>
    <xf numFmtId="49" fontId="4" fillId="0" borderId="0" xfId="0" applyNumberFormat="1" applyFont="1" applyBorder="1" applyAlignment="1">
      <alignment vertical="center"/>
    </xf>
    <xf numFmtId="4" fontId="4" fillId="0" borderId="0" xfId="0" applyNumberFormat="1" applyFont="1" applyBorder="1" applyAlignment="1">
      <alignment horizontal="center" vertical="center"/>
    </xf>
    <xf numFmtId="0" fontId="13" fillId="0" borderId="0" xfId="0" applyFont="1" applyBorder="1"/>
    <xf numFmtId="49" fontId="16" fillId="0" borderId="0" xfId="0" applyNumberFormat="1" applyFont="1" applyFill="1" applyAlignment="1">
      <alignment wrapText="1"/>
    </xf>
    <xf numFmtId="49" fontId="16" fillId="0" borderId="0" xfId="0" applyNumberFormat="1" applyFont="1" applyFill="1" applyAlignment="1">
      <alignment horizontal="center" vertical="center" wrapText="1"/>
    </xf>
    <xf numFmtId="49" fontId="16" fillId="0" borderId="0" xfId="0" applyNumberFormat="1" applyFont="1" applyFill="1" applyAlignment="1">
      <alignment horizontal="left" wrapText="1"/>
    </xf>
    <xf numFmtId="0" fontId="16" fillId="0" borderId="0" xfId="0" applyFont="1" applyFill="1" applyAlignment="1">
      <alignment wrapText="1"/>
    </xf>
    <xf numFmtId="2" fontId="16" fillId="0" borderId="0" xfId="0" applyNumberFormat="1" applyFont="1" applyFill="1" applyAlignment="1">
      <alignment wrapText="1"/>
    </xf>
    <xf numFmtId="4" fontId="16" fillId="0" borderId="0" xfId="0" applyNumberFormat="1" applyFont="1" applyFill="1" applyAlignment="1">
      <alignment wrapText="1"/>
    </xf>
    <xf numFmtId="4" fontId="16" fillId="0" borderId="0" xfId="0" applyNumberFormat="1" applyFont="1" applyFill="1" applyAlignment="1">
      <alignment horizontal="right" wrapText="1"/>
    </xf>
    <xf numFmtId="49" fontId="16" fillId="0" borderId="0" xfId="0" applyNumberFormat="1" applyFont="1" applyFill="1" applyAlignment="1">
      <alignment horizontal="right" wrapText="1"/>
    </xf>
    <xf numFmtId="0" fontId="18" fillId="0" borderId="0" xfId="0" applyFont="1" applyBorder="1" applyAlignment="1">
      <alignment horizontal="center" vertical="center" wrapText="1"/>
    </xf>
    <xf numFmtId="0" fontId="17" fillId="0" borderId="0" xfId="0" applyFont="1" applyFill="1" applyBorder="1" applyAlignment="1">
      <alignment horizontal="center" vertical="center" wrapText="1"/>
    </xf>
    <xf numFmtId="0" fontId="13" fillId="0" borderId="0" xfId="0" applyFont="1" applyAlignment="1">
      <alignment horizontal="center" vertical="center" wrapText="1"/>
    </xf>
    <xf numFmtId="0" fontId="17" fillId="6" borderId="0" xfId="0" applyFont="1" applyFill="1" applyBorder="1" applyAlignment="1">
      <alignment horizontal="left" vertical="center" wrapText="1"/>
    </xf>
    <xf numFmtId="4" fontId="8" fillId="0" borderId="4" xfId="0" applyNumberFormat="1" applyFont="1" applyBorder="1" applyAlignment="1">
      <alignment horizontal="center" vertical="center"/>
    </xf>
    <xf numFmtId="49" fontId="21" fillId="0" borderId="0" xfId="0" applyNumberFormat="1" applyFont="1" applyAlignment="1">
      <alignment vertical="center"/>
    </xf>
    <xf numFmtId="49" fontId="21" fillId="0" borderId="0" xfId="0" applyNumberFormat="1" applyFont="1"/>
    <xf numFmtId="49" fontId="21" fillId="0" borderId="0" xfId="0" applyNumberFormat="1" applyFont="1" applyAlignment="1">
      <alignment horizontal="right" wrapText="1" indent="1"/>
    </xf>
    <xf numFmtId="49" fontId="21" fillId="0" borderId="0" xfId="0" applyNumberFormat="1" applyFont="1" applyAlignment="1">
      <alignment horizontal="center" vertical="center"/>
    </xf>
    <xf numFmtId="4" fontId="22" fillId="0" borderId="2" xfId="0" applyNumberFormat="1" applyFont="1" applyFill="1" applyBorder="1" applyAlignment="1">
      <alignment horizontal="center" vertical="center"/>
    </xf>
    <xf numFmtId="0" fontId="22" fillId="0" borderId="0" xfId="0" applyFont="1" applyFill="1" applyBorder="1" applyAlignment="1">
      <alignment vertical="center"/>
    </xf>
    <xf numFmtId="0" fontId="23" fillId="0" borderId="0" xfId="0" applyFont="1" applyFill="1" applyAlignment="1">
      <alignment horizontal="center" vertical="center" wrapText="1"/>
    </xf>
    <xf numFmtId="0" fontId="23" fillId="0" borderId="0" xfId="0" applyFont="1" applyFill="1" applyAlignment="1">
      <alignment horizontal="center" vertical="center"/>
    </xf>
    <xf numFmtId="0" fontId="23" fillId="0" borderId="0" xfId="0" applyFont="1" applyFill="1" applyAlignment="1">
      <alignment vertical="center" wrapText="1"/>
    </xf>
    <xf numFmtId="4" fontId="22" fillId="0" borderId="1" xfId="0" applyNumberFormat="1" applyFont="1" applyFill="1" applyBorder="1" applyAlignment="1">
      <alignment horizontal="center" vertical="center" wrapText="1"/>
    </xf>
    <xf numFmtId="49" fontId="21" fillId="0" borderId="1" xfId="0" applyNumberFormat="1" applyFont="1" applyFill="1" applyBorder="1" applyAlignment="1">
      <alignment horizontal="center" vertical="center" wrapText="1"/>
    </xf>
    <xf numFmtId="3" fontId="21" fillId="0" borderId="1" xfId="0" applyNumberFormat="1" applyFont="1" applyFill="1" applyBorder="1" applyAlignment="1">
      <alignment horizontal="center" vertical="center" wrapText="1"/>
    </xf>
    <xf numFmtId="49" fontId="24" fillId="3" borderId="1" xfId="0" applyNumberFormat="1" applyFont="1" applyFill="1" applyBorder="1" applyAlignment="1">
      <alignment horizontal="left" vertical="center"/>
    </xf>
    <xf numFmtId="49" fontId="21" fillId="3" borderId="1" xfId="0" applyNumberFormat="1" applyFont="1" applyFill="1" applyBorder="1" applyAlignment="1">
      <alignment horizontal="center" vertical="top"/>
    </xf>
    <xf numFmtId="49" fontId="24" fillId="2" borderId="1" xfId="0" applyNumberFormat="1" applyFont="1" applyFill="1" applyBorder="1" applyAlignment="1">
      <alignment horizontal="left" vertical="top" wrapText="1"/>
    </xf>
    <xf numFmtId="49" fontId="24" fillId="3" borderId="1" xfId="0" applyNumberFormat="1" applyFont="1" applyFill="1" applyBorder="1" applyAlignment="1">
      <alignment horizontal="center" vertical="center"/>
    </xf>
    <xf numFmtId="4" fontId="24" fillId="3" borderId="1" xfId="0" applyNumberFormat="1" applyFont="1" applyFill="1" applyBorder="1" applyAlignment="1">
      <alignment horizontal="center" vertical="center"/>
    </xf>
    <xf numFmtId="49" fontId="21" fillId="0" borderId="1" xfId="0" applyNumberFormat="1" applyFont="1" applyBorder="1" applyAlignment="1">
      <alignment horizontal="left" vertical="center"/>
    </xf>
    <xf numFmtId="49" fontId="21" fillId="0" borderId="1" xfId="0" applyNumberFormat="1" applyFont="1" applyBorder="1" applyAlignment="1">
      <alignment horizontal="center" vertical="top"/>
    </xf>
    <xf numFmtId="49" fontId="21" fillId="0" borderId="1" xfId="0" applyNumberFormat="1" applyFont="1" applyBorder="1" applyAlignment="1">
      <alignment horizontal="right" vertical="top" wrapText="1"/>
    </xf>
    <xf numFmtId="49" fontId="21" fillId="0" borderId="1" xfId="0" applyNumberFormat="1" applyFont="1" applyBorder="1" applyAlignment="1">
      <alignment horizontal="center" vertical="center"/>
    </xf>
    <xf numFmtId="4" fontId="21" fillId="0" borderId="1" xfId="0" applyNumberFormat="1" applyFont="1" applyBorder="1" applyAlignment="1">
      <alignment horizontal="center" vertical="center"/>
    </xf>
    <xf numFmtId="4" fontId="21" fillId="7" borderId="1" xfId="0" applyNumberFormat="1" applyFont="1" applyFill="1" applyBorder="1" applyAlignment="1">
      <alignment horizontal="center" vertical="center"/>
    </xf>
    <xf numFmtId="3" fontId="21" fillId="0" borderId="1" xfId="0" applyNumberFormat="1" applyFont="1" applyBorder="1" applyAlignment="1">
      <alignment horizontal="center" vertical="center"/>
    </xf>
    <xf numFmtId="4" fontId="21" fillId="0" borderId="1" xfId="0" applyNumberFormat="1" applyFont="1" applyFill="1" applyBorder="1" applyAlignment="1">
      <alignment horizontal="center" vertical="center"/>
    </xf>
    <xf numFmtId="3" fontId="21" fillId="0" borderId="1" xfId="0" applyNumberFormat="1" applyFont="1" applyFill="1" applyBorder="1" applyAlignment="1">
      <alignment horizontal="center" vertical="center"/>
    </xf>
    <xf numFmtId="49" fontId="24" fillId="3" borderId="1" xfId="0" applyNumberFormat="1" applyFont="1" applyFill="1" applyBorder="1" applyAlignment="1">
      <alignment vertical="center"/>
    </xf>
    <xf numFmtId="49" fontId="21" fillId="0" borderId="1" xfId="0" applyNumberFormat="1" applyFont="1" applyFill="1" applyBorder="1" applyAlignment="1">
      <alignment horizontal="left" vertical="center"/>
    </xf>
    <xf numFmtId="49" fontId="21" fillId="0" borderId="1" xfId="0" applyNumberFormat="1" applyFont="1" applyFill="1" applyBorder="1" applyAlignment="1">
      <alignment horizontal="right" vertical="top" wrapText="1"/>
    </xf>
    <xf numFmtId="49" fontId="21" fillId="0" borderId="1" xfId="0" applyNumberFormat="1" applyFont="1" applyFill="1" applyBorder="1" applyAlignment="1">
      <alignment horizontal="center" vertical="top"/>
    </xf>
    <xf numFmtId="4" fontId="21" fillId="4" borderId="1" xfId="0" applyNumberFormat="1" applyFont="1" applyFill="1" applyBorder="1" applyAlignment="1">
      <alignment horizontal="center" vertical="center"/>
    </xf>
    <xf numFmtId="49" fontId="24" fillId="3" borderId="1" xfId="0" applyNumberFormat="1" applyFont="1" applyFill="1" applyBorder="1" applyAlignment="1">
      <alignment horizontal="left" vertical="top" wrapText="1"/>
    </xf>
    <xf numFmtId="49" fontId="21" fillId="0" borderId="1" xfId="0" applyNumberFormat="1" applyFont="1" applyBorder="1" applyAlignment="1">
      <alignment vertical="center"/>
    </xf>
    <xf numFmtId="49" fontId="21" fillId="0" borderId="3" xfId="0" applyNumberFormat="1" applyFont="1" applyBorder="1" applyAlignment="1">
      <alignment horizontal="right" vertical="top" wrapText="1"/>
    </xf>
    <xf numFmtId="49" fontId="21" fillId="0" borderId="3" xfId="0" applyNumberFormat="1" applyFont="1" applyBorder="1" applyAlignment="1">
      <alignment horizontal="center" vertical="center"/>
    </xf>
    <xf numFmtId="3" fontId="21" fillId="0" borderId="3" xfId="0" applyNumberFormat="1" applyFont="1" applyBorder="1" applyAlignment="1">
      <alignment horizontal="center" vertical="center"/>
    </xf>
    <xf numFmtId="49" fontId="21" fillId="0" borderId="0" xfId="0" applyNumberFormat="1" applyFont="1" applyBorder="1" applyAlignment="1">
      <alignment vertical="center"/>
    </xf>
    <xf numFmtId="49" fontId="21" fillId="0" borderId="0" xfId="0" applyNumberFormat="1" applyFont="1" applyBorder="1" applyAlignment="1">
      <alignment horizontal="center" vertical="top"/>
    </xf>
    <xf numFmtId="49" fontId="25" fillId="0" borderId="4" xfId="0" applyNumberFormat="1" applyFont="1" applyBorder="1" applyAlignment="1">
      <alignment horizontal="right" vertical="top" wrapText="1"/>
    </xf>
    <xf numFmtId="49" fontId="25" fillId="0" borderId="4" xfId="0" applyNumberFormat="1" applyFont="1" applyBorder="1" applyAlignment="1">
      <alignment horizontal="center" vertical="center"/>
    </xf>
    <xf numFmtId="3" fontId="25" fillId="0" borderId="4" xfId="0" applyNumberFormat="1" applyFont="1" applyBorder="1" applyAlignment="1">
      <alignment horizontal="center" vertical="center"/>
    </xf>
    <xf numFmtId="4" fontId="25" fillId="0" borderId="4" xfId="0" applyNumberFormat="1" applyFont="1" applyBorder="1" applyAlignment="1">
      <alignment horizontal="center" vertical="center"/>
    </xf>
    <xf numFmtId="49" fontId="23" fillId="0" borderId="4" xfId="0" applyNumberFormat="1" applyFont="1" applyBorder="1" applyAlignment="1">
      <alignment horizontal="right" vertical="top" wrapText="1"/>
    </xf>
    <xf numFmtId="49" fontId="21" fillId="0" borderId="4" xfId="0" applyNumberFormat="1" applyFont="1" applyBorder="1" applyAlignment="1">
      <alignment horizontal="center" vertical="center"/>
    </xf>
    <xf numFmtId="3" fontId="21" fillId="0" borderId="4" xfId="0" applyNumberFormat="1" applyFont="1" applyBorder="1" applyAlignment="1">
      <alignment horizontal="center" vertical="center"/>
    </xf>
    <xf numFmtId="4" fontId="21" fillId="0" borderId="4" xfId="0" applyNumberFormat="1" applyFont="1" applyBorder="1" applyAlignment="1">
      <alignment horizontal="center" vertical="center"/>
    </xf>
    <xf numFmtId="0" fontId="26" fillId="0" borderId="0" xfId="0" applyFont="1" applyFill="1" applyBorder="1" applyAlignment="1">
      <alignment vertical="center" wrapText="1"/>
    </xf>
    <xf numFmtId="0" fontId="26" fillId="5" borderId="28" xfId="0" applyFont="1" applyFill="1" applyBorder="1" applyAlignment="1">
      <alignment horizontal="left" vertical="center" wrapText="1"/>
    </xf>
    <xf numFmtId="0" fontId="26" fillId="5" borderId="29" xfId="0" applyFont="1" applyFill="1" applyBorder="1" applyAlignment="1">
      <alignment vertical="center" wrapText="1"/>
    </xf>
    <xf numFmtId="0" fontId="26" fillId="5" borderId="8" xfId="0" applyFont="1" applyFill="1" applyBorder="1" applyAlignment="1">
      <alignment horizontal="left" vertical="center" wrapText="1"/>
    </xf>
    <xf numFmtId="0" fontId="26" fillId="5" borderId="1" xfId="0" applyFont="1" applyFill="1" applyBorder="1" applyAlignment="1">
      <alignment vertical="center" wrapText="1"/>
    </xf>
    <xf numFmtId="0" fontId="13" fillId="0" borderId="0" xfId="0" applyFont="1" applyFill="1" applyBorder="1" applyAlignment="1">
      <alignment horizontal="center" vertical="center" wrapText="1"/>
    </xf>
    <xf numFmtId="10" fontId="26" fillId="5" borderId="1" xfId="0" applyNumberFormat="1" applyFont="1" applyFill="1" applyBorder="1" applyAlignment="1">
      <alignment vertical="center" wrapText="1"/>
    </xf>
    <xf numFmtId="0" fontId="13" fillId="0" borderId="0" xfId="0" applyFont="1" applyFill="1" applyBorder="1" applyAlignment="1">
      <alignment horizontal="left" wrapText="1" shrinkToFit="1"/>
    </xf>
    <xf numFmtId="0" fontId="26" fillId="5" borderId="3" xfId="0" applyFont="1" applyFill="1" applyBorder="1" applyAlignment="1">
      <alignment vertical="center" wrapText="1"/>
    </xf>
    <xf numFmtId="0" fontId="26" fillId="5" borderId="36" xfId="0" applyFont="1" applyFill="1" applyBorder="1" applyAlignment="1">
      <alignment vertical="center" wrapText="1"/>
    </xf>
    <xf numFmtId="0" fontId="27" fillId="0" borderId="0" xfId="0" applyFont="1" applyFill="1" applyBorder="1" applyAlignment="1">
      <alignment horizontal="center" vertical="center" wrapText="1"/>
    </xf>
    <xf numFmtId="0" fontId="26" fillId="5" borderId="12" xfId="0" applyFont="1" applyFill="1" applyBorder="1" applyAlignment="1">
      <alignment horizontal="left" vertical="center" wrapText="1"/>
    </xf>
    <xf numFmtId="0" fontId="26" fillId="5" borderId="37" xfId="0" applyFont="1" applyFill="1" applyBorder="1" applyAlignment="1">
      <alignment vertical="center" wrapText="1"/>
    </xf>
    <xf numFmtId="0" fontId="26" fillId="5" borderId="38" xfId="0" applyFont="1" applyFill="1" applyBorder="1" applyAlignment="1">
      <alignment vertical="center" wrapText="1"/>
    </xf>
    <xf numFmtId="49" fontId="27" fillId="0" borderId="0" xfId="0" applyNumberFormat="1" applyFont="1" applyFill="1" applyBorder="1" applyAlignment="1">
      <alignment horizontal="center" vertical="center" wrapText="1"/>
    </xf>
    <xf numFmtId="0" fontId="28" fillId="0" borderId="0" xfId="0" applyNumberFormat="1" applyFont="1" applyFill="1" applyBorder="1" applyAlignment="1">
      <alignment horizontal="center" vertical="center" wrapText="1" shrinkToFit="1"/>
    </xf>
    <xf numFmtId="49" fontId="28" fillId="6" borderId="0" xfId="0" applyNumberFormat="1" applyFont="1" applyFill="1" applyBorder="1" applyAlignment="1">
      <alignment horizontal="center" vertical="center" wrapText="1"/>
    </xf>
    <xf numFmtId="0" fontId="28" fillId="6" borderId="0" xfId="0" applyFont="1" applyFill="1" applyBorder="1" applyAlignment="1">
      <alignment horizontal="center" vertical="center" wrapText="1"/>
    </xf>
    <xf numFmtId="0" fontId="28" fillId="6" borderId="0" xfId="0" applyNumberFormat="1" applyFont="1" applyFill="1" applyBorder="1" applyAlignment="1">
      <alignment horizontal="left" vertical="center" wrapText="1"/>
    </xf>
    <xf numFmtId="0" fontId="28" fillId="6" borderId="0" xfId="0" applyFont="1" applyFill="1" applyBorder="1" applyAlignment="1">
      <alignment horizontal="left" vertical="center" wrapText="1"/>
    </xf>
    <xf numFmtId="0" fontId="16" fillId="0" borderId="0" xfId="0" applyFont="1" applyFill="1" applyBorder="1" applyAlignment="1">
      <alignment horizontal="center" vertical="center"/>
    </xf>
    <xf numFmtId="49" fontId="21" fillId="0" borderId="0" xfId="0" applyNumberFormat="1" applyFont="1" applyBorder="1" applyAlignment="1">
      <alignment horizontal="right" vertical="top" wrapText="1"/>
    </xf>
    <xf numFmtId="49" fontId="21" fillId="0" borderId="0" xfId="0" applyNumberFormat="1" applyFont="1" applyBorder="1" applyAlignment="1">
      <alignment horizontal="center" vertical="center"/>
    </xf>
    <xf numFmtId="3" fontId="21" fillId="0" borderId="0" xfId="0" applyNumberFormat="1" applyFont="1" applyBorder="1" applyAlignment="1">
      <alignment horizontal="center" vertical="center"/>
    </xf>
    <xf numFmtId="4" fontId="21" fillId="0" borderId="0" xfId="0" applyNumberFormat="1" applyFont="1" applyBorder="1" applyAlignment="1">
      <alignment horizontal="center" vertical="center"/>
    </xf>
    <xf numFmtId="49" fontId="21" fillId="0" borderId="0" xfId="0" applyNumberFormat="1" applyFont="1" applyFill="1" applyAlignment="1">
      <alignment horizontal="center" vertical="center"/>
    </xf>
    <xf numFmtId="49" fontId="21" fillId="0" borderId="0" xfId="0" applyNumberFormat="1" applyFont="1" applyFill="1" applyAlignment="1">
      <alignment horizontal="center"/>
    </xf>
    <xf numFmtId="49" fontId="21" fillId="0" borderId="0" xfId="0" applyNumberFormat="1" applyFont="1" applyFill="1" applyAlignment="1">
      <alignment wrapText="1"/>
    </xf>
    <xf numFmtId="4" fontId="21" fillId="0" borderId="0" xfId="0" applyNumberFormat="1" applyFont="1" applyAlignment="1">
      <alignment horizontal="center" vertical="center"/>
    </xf>
    <xf numFmtId="49" fontId="32" fillId="0" borderId="1" xfId="0" applyNumberFormat="1" applyFont="1" applyFill="1" applyBorder="1" applyAlignment="1">
      <alignment horizontal="center" vertical="center"/>
    </xf>
    <xf numFmtId="49" fontId="31" fillId="0" borderId="1" xfId="0" applyNumberFormat="1" applyFont="1" applyFill="1" applyBorder="1" applyAlignment="1">
      <alignment vertical="center" wrapText="1"/>
    </xf>
    <xf numFmtId="49" fontId="31" fillId="0" borderId="1" xfId="0" applyNumberFormat="1" applyFont="1" applyFill="1" applyBorder="1" applyAlignment="1">
      <alignment horizontal="center" vertical="center"/>
    </xf>
    <xf numFmtId="49" fontId="9" fillId="0" borderId="1" xfId="0" applyNumberFormat="1" applyFont="1" applyFill="1" applyBorder="1" applyAlignment="1">
      <alignment horizontal="center" vertical="center"/>
    </xf>
    <xf numFmtId="49" fontId="30" fillId="0" borderId="1" xfId="0" applyNumberFormat="1" applyFont="1" applyFill="1" applyBorder="1" applyAlignment="1">
      <alignment horizontal="center" vertical="center"/>
    </xf>
    <xf numFmtId="4" fontId="9" fillId="0" borderId="1" xfId="0" applyNumberFormat="1" applyFont="1" applyFill="1" applyBorder="1" applyAlignment="1">
      <alignment horizontal="center" vertical="center"/>
    </xf>
    <xf numFmtId="0" fontId="15" fillId="0" borderId="1" xfId="0" applyFont="1" applyFill="1" applyBorder="1" applyAlignment="1">
      <alignment horizontal="center" vertical="center" wrapText="1"/>
    </xf>
    <xf numFmtId="3" fontId="30" fillId="0" borderId="3" xfId="2" applyNumberFormat="1" applyFont="1" applyFill="1" applyBorder="1" applyAlignment="1">
      <alignment horizontal="center" vertical="center" wrapText="1"/>
    </xf>
    <xf numFmtId="49" fontId="32" fillId="8" borderId="1" xfId="0" applyNumberFormat="1" applyFont="1" applyFill="1" applyBorder="1" applyAlignment="1">
      <alignment horizontal="center" vertical="center"/>
    </xf>
    <xf numFmtId="49" fontId="31" fillId="8" borderId="1" xfId="0" applyNumberFormat="1" applyFont="1" applyFill="1" applyBorder="1" applyAlignment="1">
      <alignment vertical="center" wrapText="1"/>
    </xf>
    <xf numFmtId="4" fontId="9" fillId="8" borderId="1" xfId="0" applyNumberFormat="1" applyFont="1" applyFill="1" applyBorder="1" applyAlignment="1">
      <alignment horizontal="center" vertical="center"/>
    </xf>
    <xf numFmtId="49" fontId="9" fillId="8" borderId="1" xfId="0" applyNumberFormat="1" applyFont="1" applyFill="1" applyBorder="1" applyAlignment="1">
      <alignment horizontal="center" vertical="center"/>
    </xf>
    <xf numFmtId="4" fontId="9" fillId="0" borderId="3" xfId="0" applyNumberFormat="1" applyFont="1" applyFill="1" applyBorder="1" applyAlignment="1">
      <alignment horizontal="center" vertical="center"/>
    </xf>
    <xf numFmtId="0" fontId="0" fillId="0" borderId="1" xfId="0" applyBorder="1"/>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43" fontId="0" fillId="0" borderId="1" xfId="9" applyFont="1" applyBorder="1" applyAlignment="1">
      <alignment horizontal="center" vertical="center"/>
    </xf>
    <xf numFmtId="165" fontId="0" fillId="0" borderId="1" xfId="0" applyNumberFormat="1" applyBorder="1"/>
    <xf numFmtId="165" fontId="0" fillId="0" borderId="1" xfId="0" applyNumberFormat="1" applyBorder="1" applyAlignment="1">
      <alignment horizontal="center" vertical="center"/>
    </xf>
    <xf numFmtId="0" fontId="35" fillId="0" borderId="1" xfId="0" applyFont="1" applyBorder="1"/>
    <xf numFmtId="0" fontId="15" fillId="0" borderId="0" xfId="0" applyFont="1" applyFill="1" applyBorder="1" applyAlignment="1">
      <alignment horizontal="center" vertical="center" wrapText="1"/>
    </xf>
    <xf numFmtId="0" fontId="20" fillId="6" borderId="0" xfId="0" applyFont="1" applyFill="1" applyBorder="1" applyAlignment="1">
      <alignment horizontal="left" vertical="center" wrapText="1"/>
    </xf>
    <xf numFmtId="0" fontId="17" fillId="6" borderId="0" xfId="0" applyFont="1" applyFill="1" applyBorder="1" applyAlignment="1">
      <alignment horizontal="left" vertical="center" wrapText="1"/>
    </xf>
    <xf numFmtId="0" fontId="14" fillId="5" borderId="5" xfId="0" applyFont="1" applyFill="1" applyBorder="1" applyAlignment="1">
      <alignment horizontal="left"/>
    </xf>
    <xf numFmtId="0" fontId="14" fillId="5" borderId="40" xfId="0" applyFont="1" applyFill="1" applyBorder="1" applyAlignment="1">
      <alignment horizontal="left"/>
    </xf>
    <xf numFmtId="0" fontId="14" fillId="5" borderId="20" xfId="0" applyFont="1" applyFill="1" applyBorder="1" applyAlignment="1">
      <alignment horizontal="left"/>
    </xf>
    <xf numFmtId="0" fontId="12" fillId="5" borderId="33" xfId="0" applyFont="1" applyFill="1" applyBorder="1" applyAlignment="1">
      <alignment horizontal="center" vertical="center" wrapText="1"/>
    </xf>
    <xf numFmtId="0" fontId="12" fillId="5" borderId="34" xfId="0" applyFont="1" applyFill="1" applyBorder="1" applyAlignment="1">
      <alignment horizontal="center" vertical="center" wrapText="1"/>
    </xf>
    <xf numFmtId="0" fontId="12" fillId="5" borderId="35" xfId="0" applyFont="1" applyFill="1" applyBorder="1" applyAlignment="1">
      <alignment horizontal="center" vertical="center" wrapText="1"/>
    </xf>
    <xf numFmtId="4" fontId="12" fillId="5" borderId="26" xfId="0" applyNumberFormat="1" applyFont="1" applyFill="1" applyBorder="1" applyAlignment="1">
      <alignment horizontal="center" vertical="center" wrapText="1"/>
    </xf>
    <xf numFmtId="4" fontId="12" fillId="5" borderId="27" xfId="0" applyNumberFormat="1" applyFont="1" applyFill="1" applyBorder="1" applyAlignment="1">
      <alignment horizontal="center" vertical="center" wrapText="1"/>
    </xf>
    <xf numFmtId="4" fontId="12" fillId="5" borderId="39" xfId="0" applyNumberFormat="1" applyFont="1" applyFill="1" applyBorder="1" applyAlignment="1">
      <alignment horizontal="center" vertical="center" wrapText="1"/>
    </xf>
    <xf numFmtId="0" fontId="17" fillId="0" borderId="0" xfId="0" applyFont="1" applyFill="1" applyBorder="1" applyAlignment="1">
      <alignment horizontal="left" vertical="center" wrapText="1" shrinkToFit="1"/>
    </xf>
    <xf numFmtId="0" fontId="19" fillId="4" borderId="0" xfId="0" applyFont="1" applyFill="1" applyBorder="1" applyAlignment="1">
      <alignment horizontal="left" vertical="center" wrapText="1"/>
    </xf>
    <xf numFmtId="4" fontId="12" fillId="5" borderId="33" xfId="0" applyNumberFormat="1" applyFont="1" applyFill="1" applyBorder="1" applyAlignment="1">
      <alignment horizontal="center" vertical="center" wrapText="1"/>
    </xf>
    <xf numFmtId="4" fontId="12" fillId="5" borderId="34" xfId="0" applyNumberFormat="1" applyFont="1" applyFill="1" applyBorder="1" applyAlignment="1">
      <alignment horizontal="center" vertical="center" wrapText="1"/>
    </xf>
    <xf numFmtId="4" fontId="12" fillId="5" borderId="35" xfId="0" applyNumberFormat="1" applyFont="1" applyFill="1" applyBorder="1" applyAlignment="1">
      <alignment horizontal="center" vertical="center" wrapText="1"/>
    </xf>
    <xf numFmtId="4" fontId="12" fillId="5" borderId="30" xfId="0" applyNumberFormat="1" applyFont="1" applyFill="1" applyBorder="1" applyAlignment="1">
      <alignment horizontal="center" vertical="center" wrapText="1"/>
    </xf>
    <xf numFmtId="4" fontId="12" fillId="5" borderId="31" xfId="0" applyNumberFormat="1" applyFont="1" applyFill="1" applyBorder="1" applyAlignment="1">
      <alignment horizontal="center" vertical="center" wrapText="1"/>
    </xf>
    <xf numFmtId="4" fontId="12" fillId="5" borderId="32" xfId="0" applyNumberFormat="1" applyFont="1" applyFill="1" applyBorder="1" applyAlignment="1">
      <alignment horizontal="center" vertical="center" wrapText="1"/>
    </xf>
    <xf numFmtId="9" fontId="12" fillId="5" borderId="33" xfId="0" applyNumberFormat="1" applyFont="1" applyFill="1" applyBorder="1" applyAlignment="1">
      <alignment horizontal="center" vertical="center" wrapText="1"/>
    </xf>
    <xf numFmtId="9" fontId="12" fillId="5" borderId="34" xfId="0" applyNumberFormat="1" applyFont="1" applyFill="1" applyBorder="1" applyAlignment="1">
      <alignment horizontal="center" vertical="center" wrapText="1"/>
    </xf>
    <xf numFmtId="9" fontId="12" fillId="5" borderId="35" xfId="0" applyNumberFormat="1"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25" xfId="0" applyFont="1" applyFill="1" applyBorder="1" applyAlignment="1">
      <alignment horizontal="center" vertical="top" wrapText="1"/>
    </xf>
    <xf numFmtId="49" fontId="22" fillId="0" borderId="1" xfId="0" applyNumberFormat="1" applyFont="1" applyFill="1" applyBorder="1" applyAlignment="1">
      <alignment horizontal="center" vertical="center" wrapText="1"/>
    </xf>
    <xf numFmtId="4" fontId="22" fillId="0" borderId="1" xfId="0"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xf>
    <xf numFmtId="0" fontId="0" fillId="0" borderId="17" xfId="0" applyBorder="1" applyAlignment="1">
      <alignment horizontal="center" vertical="center"/>
    </xf>
    <xf numFmtId="49" fontId="9" fillId="0" borderId="1" xfId="0" applyNumberFormat="1" applyFont="1" applyFill="1" applyBorder="1" applyAlignment="1">
      <alignment vertical="center" wrapText="1"/>
    </xf>
  </cellXfs>
  <cellStyles count="10">
    <cellStyle name="Normal_Sheet1" xfId="2" xr:uid="{00000000-0005-0000-0000-000000000000}"/>
    <cellStyle name="Обычный" xfId="0" builtinId="0"/>
    <cellStyle name="Обычный 19" xfId="7" xr:uid="{D77F75BC-1B40-495F-BA7E-9DB85BC6A5A8}"/>
    <cellStyle name="Обычный 19 2" xfId="8" xr:uid="{B0A0EA09-3E77-43E4-B724-5D46821CF4C8}"/>
    <cellStyle name="Обычный 2" xfId="3" xr:uid="{00000000-0005-0000-0000-000002000000}"/>
    <cellStyle name="Обычный 2 2" xfId="4" xr:uid="{00000000-0005-0000-0000-000003000000}"/>
    <cellStyle name="Обычный 7" xfId="6" xr:uid="{A3C19399-1762-477B-A42C-774C86420C70}"/>
    <cellStyle name="Финансовый" xfId="9" builtinId="3"/>
    <cellStyle name="Финансовый 3" xfId="5" xr:uid="{00000000-0005-0000-0000-000006000000}"/>
    <cellStyle name="Финансовый 9" xfId="1"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Users\&#1057;&#1074;&#1103;&#1090;&#1086;&#1081;%20&#1054;&#1090;&#1077;&#1094;\Desktop\&#1053;&#1086;&#1074;&#1072;&#1103;%20&#1060;&#1086;&#1088;&#1084;&#1072;%20&#1050;&#1055;%20&#1086;&#1090;&#1076;&#1077;&#1083;&#1082;&#1072;%202%20&#1101;&#1090;&#1072;&#1087;%20UP%20&#1050;&#1086;&#1084;&#1077;&#1085;&#1076;&#1072;&#1085;&#1090;&#1089;&#1082;&#1080;&#1081;%20&#1082;&#1086;&#1088;&#1088;&#1077;&#1082;&#1090;&#1080;&#1088;&#1086;&#1074;&#1082;&#1072;%20(28.09.18)%20&#1085;&#1086;&#107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в. Секция 3.2.2"/>
      <sheetName val="Кв. Секция 3.2.3"/>
      <sheetName val="Кв. Секция 3.3.1 "/>
      <sheetName val="Кв. Секция 3.3.2"/>
      <sheetName val="Кв. Секция 3.3.3"/>
    </sheetNames>
    <sheetDataSet>
      <sheetData sheetId="0"/>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E29DC-3691-4AF6-B98E-58760B9CEE87}">
  <sheetPr>
    <pageSetUpPr fitToPage="1"/>
  </sheetPr>
  <dimension ref="A1:I15"/>
  <sheetViews>
    <sheetView tabSelected="1" workbookViewId="0">
      <selection activeCell="B6" sqref="B6"/>
    </sheetView>
  </sheetViews>
  <sheetFormatPr defaultRowHeight="14.4" x14ac:dyDescent="0.3"/>
  <cols>
    <col min="2" max="2" width="39.88671875" customWidth="1"/>
    <col min="3" max="3" width="16" customWidth="1"/>
    <col min="4" max="4" width="11.6640625" customWidth="1"/>
    <col min="5" max="6" width="17.33203125" customWidth="1"/>
    <col min="7" max="8" width="14.33203125" customWidth="1"/>
    <col min="9" max="9" width="13" customWidth="1"/>
  </cols>
  <sheetData>
    <row r="1" spans="1:9" x14ac:dyDescent="0.3">
      <c r="B1" t="s">
        <v>260</v>
      </c>
    </row>
    <row r="3" spans="1:9" ht="31.8" customHeight="1" x14ac:dyDescent="0.3">
      <c r="A3" s="151" t="s">
        <v>244</v>
      </c>
      <c r="B3" s="150" t="s">
        <v>245</v>
      </c>
      <c r="C3" s="150" t="s">
        <v>246</v>
      </c>
      <c r="D3" s="156" t="s">
        <v>247</v>
      </c>
      <c r="E3" s="158" t="s">
        <v>254</v>
      </c>
      <c r="F3" s="158" t="s">
        <v>255</v>
      </c>
      <c r="G3" s="158" t="s">
        <v>256</v>
      </c>
      <c r="H3" s="158" t="s">
        <v>257</v>
      </c>
      <c r="I3" s="159" t="s">
        <v>162</v>
      </c>
    </row>
    <row r="4" spans="1:9" x14ac:dyDescent="0.3">
      <c r="A4" s="152"/>
      <c r="B4" s="153" t="s">
        <v>250</v>
      </c>
      <c r="C4" s="155"/>
      <c r="D4" s="154"/>
      <c r="E4" s="154"/>
      <c r="F4" s="154"/>
      <c r="G4" s="154"/>
      <c r="H4" s="154"/>
      <c r="I4" s="154"/>
    </row>
    <row r="5" spans="1:9" ht="32.4" customHeight="1" x14ac:dyDescent="0.3">
      <c r="A5" s="144"/>
      <c r="B5" s="145" t="s">
        <v>249</v>
      </c>
      <c r="C5" s="146"/>
      <c r="D5" s="149"/>
      <c r="E5" s="157"/>
      <c r="F5" s="157"/>
      <c r="G5" s="160">
        <f>E5*D5</f>
        <v>0</v>
      </c>
      <c r="H5" s="160">
        <f>F5*D5</f>
        <v>0</v>
      </c>
      <c r="I5" s="162">
        <f>G5+H5</f>
        <v>0</v>
      </c>
    </row>
    <row r="6" spans="1:9" ht="42.6" customHeight="1" x14ac:dyDescent="0.3">
      <c r="A6" s="148" t="s">
        <v>12</v>
      </c>
      <c r="B6" s="201" t="s">
        <v>252</v>
      </c>
      <c r="C6" s="147" t="s">
        <v>248</v>
      </c>
      <c r="D6" s="149">
        <v>1911.21</v>
      </c>
      <c r="E6" s="157"/>
      <c r="F6" s="157"/>
      <c r="G6" s="160">
        <f t="shared" ref="G6:G8" si="0">E6*D6</f>
        <v>0</v>
      </c>
      <c r="H6" s="160">
        <f t="shared" ref="H6:H8" si="1">F6*D6</f>
        <v>0</v>
      </c>
      <c r="I6" s="162">
        <f t="shared" ref="I6:I8" si="2">G6+H6</f>
        <v>0</v>
      </c>
    </row>
    <row r="7" spans="1:9" ht="32.4" customHeight="1" x14ac:dyDescent="0.3">
      <c r="A7" s="148" t="s">
        <v>13</v>
      </c>
      <c r="B7" s="201" t="s">
        <v>259</v>
      </c>
      <c r="C7" s="147" t="s">
        <v>248</v>
      </c>
      <c r="D7" s="149">
        <f>D6</f>
        <v>1911.21</v>
      </c>
      <c r="E7" s="157"/>
      <c r="F7" s="157"/>
      <c r="G7" s="160">
        <f t="shared" si="0"/>
        <v>0</v>
      </c>
      <c r="H7" s="160">
        <f t="shared" si="1"/>
        <v>0</v>
      </c>
      <c r="I7" s="162">
        <f t="shared" si="2"/>
        <v>0</v>
      </c>
    </row>
    <row r="8" spans="1:9" ht="32.4" customHeight="1" x14ac:dyDescent="0.3">
      <c r="A8" s="148" t="s">
        <v>14</v>
      </c>
      <c r="B8" s="201" t="s">
        <v>253</v>
      </c>
      <c r="C8" s="147" t="s">
        <v>248</v>
      </c>
      <c r="D8" s="149">
        <f>D6</f>
        <v>1911.21</v>
      </c>
      <c r="E8" s="157"/>
      <c r="F8" s="157"/>
      <c r="G8" s="160">
        <f t="shared" si="0"/>
        <v>0</v>
      </c>
      <c r="H8" s="160">
        <f t="shared" si="1"/>
        <v>0</v>
      </c>
      <c r="I8" s="162">
        <f t="shared" si="2"/>
        <v>0</v>
      </c>
    </row>
    <row r="9" spans="1:9" x14ac:dyDescent="0.3">
      <c r="A9" s="152"/>
      <c r="B9" s="153" t="s">
        <v>251</v>
      </c>
      <c r="C9" s="155"/>
      <c r="D9" s="154"/>
      <c r="E9" s="154"/>
      <c r="F9" s="154"/>
      <c r="G9" s="154"/>
      <c r="H9" s="154"/>
      <c r="I9" s="154"/>
    </row>
    <row r="10" spans="1:9" ht="31.2" customHeight="1" x14ac:dyDescent="0.3">
      <c r="A10" s="144"/>
      <c r="B10" s="145" t="s">
        <v>249</v>
      </c>
      <c r="C10" s="146"/>
      <c r="D10" s="149"/>
      <c r="E10" s="157"/>
      <c r="F10" s="157"/>
      <c r="G10" s="160">
        <f t="shared" ref="G10" si="3">E10*D10</f>
        <v>0</v>
      </c>
      <c r="H10" s="160">
        <f t="shared" ref="H10" si="4">F10*D10</f>
        <v>0</v>
      </c>
      <c r="I10" s="162">
        <f t="shared" ref="I10" si="5">G10+H10</f>
        <v>0</v>
      </c>
    </row>
    <row r="11" spans="1:9" ht="40.799999999999997" customHeight="1" x14ac:dyDescent="0.3">
      <c r="A11" s="148" t="s">
        <v>12</v>
      </c>
      <c r="B11" s="201" t="s">
        <v>252</v>
      </c>
      <c r="C11" s="147" t="s">
        <v>248</v>
      </c>
      <c r="D11" s="149">
        <v>2709.24</v>
      </c>
      <c r="E11" s="157"/>
      <c r="F11" s="157"/>
      <c r="G11" s="160">
        <f t="shared" ref="G11:G13" si="6">E11*D11</f>
        <v>0</v>
      </c>
      <c r="H11" s="160">
        <f t="shared" ref="H11:H13" si="7">F11*D11</f>
        <v>0</v>
      </c>
      <c r="I11" s="162">
        <f t="shared" ref="I11:I13" si="8">G11+H11</f>
        <v>0</v>
      </c>
    </row>
    <row r="12" spans="1:9" ht="31.2" customHeight="1" x14ac:dyDescent="0.3">
      <c r="A12" s="148" t="s">
        <v>13</v>
      </c>
      <c r="B12" s="201" t="s">
        <v>259</v>
      </c>
      <c r="C12" s="147" t="s">
        <v>248</v>
      </c>
      <c r="D12" s="149">
        <f>D11</f>
        <v>2709.24</v>
      </c>
      <c r="E12" s="157"/>
      <c r="F12" s="157"/>
      <c r="G12" s="160">
        <f t="shared" si="6"/>
        <v>0</v>
      </c>
      <c r="H12" s="160">
        <f t="shared" si="7"/>
        <v>0</v>
      </c>
      <c r="I12" s="162">
        <f t="shared" si="8"/>
        <v>0</v>
      </c>
    </row>
    <row r="13" spans="1:9" ht="31.2" customHeight="1" x14ac:dyDescent="0.3">
      <c r="A13" s="148" t="s">
        <v>14</v>
      </c>
      <c r="B13" s="201" t="s">
        <v>253</v>
      </c>
      <c r="C13" s="147" t="s">
        <v>248</v>
      </c>
      <c r="D13" s="149">
        <f>D11</f>
        <v>2709.24</v>
      </c>
      <c r="E13" s="157"/>
      <c r="F13" s="157"/>
      <c r="G13" s="160">
        <f t="shared" si="6"/>
        <v>0</v>
      </c>
      <c r="H13" s="160">
        <f t="shared" si="7"/>
        <v>0</v>
      </c>
      <c r="I13" s="162">
        <f t="shared" si="8"/>
        <v>0</v>
      </c>
    </row>
    <row r="14" spans="1:9" x14ac:dyDescent="0.3">
      <c r="A14" s="157"/>
      <c r="B14" s="163" t="s">
        <v>258</v>
      </c>
      <c r="C14" s="157"/>
      <c r="D14" s="157"/>
      <c r="E14" s="157"/>
      <c r="F14" s="157"/>
      <c r="G14" s="157"/>
      <c r="H14" s="157"/>
      <c r="I14" s="161">
        <f>SUM(I4:I13)</f>
        <v>0</v>
      </c>
    </row>
    <row r="15" spans="1:9" x14ac:dyDescent="0.3">
      <c r="A15" s="157"/>
      <c r="B15" s="163" t="s">
        <v>177</v>
      </c>
      <c r="C15" s="157"/>
      <c r="D15" s="157"/>
      <c r="E15" s="157"/>
      <c r="F15" s="157"/>
      <c r="G15" s="157"/>
      <c r="H15" s="157"/>
      <c r="I15" s="161">
        <f>I14*20/120</f>
        <v>0</v>
      </c>
    </row>
  </sheetData>
  <pageMargins left="0.7" right="0.7" top="0.75" bottom="0.75" header="0.3" footer="0.3"/>
  <pageSetup paperSize="9" scale="6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fitToPage="1"/>
  </sheetPr>
  <dimension ref="A1:P158"/>
  <sheetViews>
    <sheetView zoomScale="70" zoomScaleNormal="70" zoomScaleSheetLayoutView="70" workbookViewId="0">
      <pane ySplit="1" topLeftCell="A65" activePane="bottomLeft" state="frozen"/>
      <selection pane="bottomLeft" activeCell="A4" sqref="A4"/>
    </sheetView>
  </sheetViews>
  <sheetFormatPr defaultColWidth="9.109375" defaultRowHeight="13.8" outlineLevelRow="1" x14ac:dyDescent="0.25"/>
  <cols>
    <col min="1" max="1" width="13.33203125" style="69" bestFit="1" customWidth="1"/>
    <col min="2" max="2" width="6.33203125" style="70" customWidth="1"/>
    <col min="3" max="3" width="100.44140625" style="71" customWidth="1"/>
    <col min="4" max="4" width="9.109375" style="72"/>
    <col min="5" max="5" width="14.109375" style="143" customWidth="1"/>
    <col min="6" max="6" width="15.44140625" style="72" customWidth="1"/>
    <col min="7" max="7" width="14.6640625" style="48" customWidth="1"/>
    <col min="8" max="8" width="14.5546875" style="48" customWidth="1"/>
    <col min="9" max="9" width="19.109375" style="48" customWidth="1"/>
    <col min="10" max="11" width="18.44140625" style="48" customWidth="1"/>
    <col min="12" max="16384" width="9.109375" style="23"/>
  </cols>
  <sheetData>
    <row r="1" spans="1:16" ht="15.6" x14ac:dyDescent="0.25">
      <c r="E1" s="73" t="e">
        <f>_xlfn.AGGREGATE(9,1,E12:E198)</f>
        <v>#REF!</v>
      </c>
    </row>
    <row r="2" spans="1:16" s="35" customFormat="1" ht="15.6" x14ac:dyDescent="0.3">
      <c r="A2" s="74" t="s">
        <v>240</v>
      </c>
      <c r="B2" s="74"/>
      <c r="C2" s="75"/>
      <c r="D2" s="76"/>
      <c r="E2" s="76"/>
      <c r="F2" s="76"/>
      <c r="G2" s="29"/>
      <c r="H2" s="29"/>
      <c r="I2" s="29"/>
      <c r="J2" s="29"/>
      <c r="K2" s="49"/>
      <c r="L2" s="36"/>
      <c r="M2" s="37"/>
      <c r="N2" s="34"/>
      <c r="O2" s="34"/>
      <c r="P2" s="34"/>
    </row>
    <row r="3" spans="1:16" s="35" customFormat="1" ht="15.6" x14ac:dyDescent="0.3">
      <c r="A3" s="74" t="s">
        <v>243</v>
      </c>
      <c r="B3" s="74"/>
      <c r="C3" s="75"/>
      <c r="D3" s="76"/>
      <c r="E3" s="76"/>
      <c r="F3" s="76"/>
      <c r="G3" s="29"/>
      <c r="H3" s="29"/>
      <c r="I3" s="29"/>
      <c r="J3" s="29"/>
      <c r="K3" s="49"/>
      <c r="L3" s="36"/>
      <c r="M3" s="37"/>
      <c r="N3" s="34"/>
      <c r="O3" s="34"/>
      <c r="P3" s="34"/>
    </row>
    <row r="4" spans="1:16" s="35" customFormat="1" ht="15.6" x14ac:dyDescent="0.3">
      <c r="A4" s="74" t="s">
        <v>241</v>
      </c>
      <c r="B4" s="77"/>
      <c r="C4" s="75"/>
      <c r="D4" s="76"/>
      <c r="E4" s="76"/>
      <c r="F4" s="76"/>
      <c r="G4" s="29"/>
      <c r="H4" s="29"/>
      <c r="I4" s="29"/>
      <c r="J4" s="29"/>
      <c r="K4" s="49"/>
      <c r="L4" s="36"/>
      <c r="M4" s="37"/>
      <c r="N4" s="34"/>
      <c r="O4" s="34"/>
      <c r="P4" s="34"/>
    </row>
    <row r="5" spans="1:16" s="35" customFormat="1" ht="15.6" x14ac:dyDescent="0.3">
      <c r="A5" s="187" t="s">
        <v>164</v>
      </c>
      <c r="B5" s="187"/>
      <c r="C5" s="187"/>
      <c r="D5" s="187"/>
      <c r="E5" s="187"/>
      <c r="F5" s="187"/>
      <c r="G5" s="187"/>
      <c r="H5" s="187"/>
      <c r="I5" s="187"/>
      <c r="J5" s="187"/>
      <c r="K5" s="187"/>
      <c r="L5" s="30"/>
      <c r="M5" s="30"/>
      <c r="N5" s="28"/>
      <c r="O5" s="28"/>
      <c r="P5" s="28"/>
    </row>
    <row r="6" spans="1:16" s="35" customFormat="1" ht="15.75" customHeight="1" x14ac:dyDescent="0.3">
      <c r="A6" s="188" t="s">
        <v>167</v>
      </c>
      <c r="B6" s="188"/>
      <c r="C6" s="188"/>
      <c r="D6" s="188"/>
      <c r="E6" s="188"/>
      <c r="F6" s="188"/>
      <c r="G6" s="188"/>
      <c r="H6" s="188"/>
      <c r="I6" s="188"/>
      <c r="J6" s="188"/>
      <c r="K6" s="188"/>
      <c r="L6" s="31"/>
      <c r="M6" s="31"/>
      <c r="N6" s="31"/>
      <c r="O6" s="31"/>
      <c r="P6" s="31"/>
    </row>
    <row r="7" spans="1:16" s="35" customFormat="1" ht="15.6" x14ac:dyDescent="0.3">
      <c r="A7" s="188" t="s">
        <v>165</v>
      </c>
      <c r="B7" s="188"/>
      <c r="C7" s="188"/>
      <c r="D7" s="188"/>
      <c r="E7" s="188"/>
      <c r="F7" s="188"/>
      <c r="G7" s="188"/>
      <c r="H7" s="188"/>
      <c r="I7" s="188"/>
      <c r="J7" s="188"/>
      <c r="K7" s="188"/>
      <c r="L7" s="32"/>
      <c r="M7" s="32"/>
      <c r="N7" s="31"/>
      <c r="O7" s="31"/>
      <c r="P7" s="31"/>
    </row>
    <row r="8" spans="1:16" s="35" customFormat="1" ht="33" customHeight="1" x14ac:dyDescent="0.3">
      <c r="A8" s="189" t="s">
        <v>166</v>
      </c>
      <c r="B8" s="189"/>
      <c r="C8" s="189"/>
      <c r="D8" s="189"/>
      <c r="E8" s="189"/>
      <c r="F8" s="189"/>
      <c r="G8" s="189"/>
      <c r="H8" s="189"/>
      <c r="I8" s="189"/>
      <c r="J8" s="189"/>
      <c r="K8" s="189"/>
      <c r="L8" s="32"/>
      <c r="M8" s="32"/>
      <c r="N8" s="31"/>
      <c r="O8" s="31"/>
      <c r="P8" s="31"/>
    </row>
    <row r="9" spans="1:16" s="24" customFormat="1" ht="34.5" customHeight="1" x14ac:dyDescent="0.25">
      <c r="A9" s="190" t="s">
        <v>4</v>
      </c>
      <c r="B9" s="190" t="s">
        <v>141</v>
      </c>
      <c r="C9" s="190" t="s">
        <v>0</v>
      </c>
      <c r="D9" s="190" t="s">
        <v>163</v>
      </c>
      <c r="E9" s="191" t="s">
        <v>5</v>
      </c>
      <c r="F9" s="192" t="s">
        <v>158</v>
      </c>
      <c r="G9" s="193"/>
      <c r="H9" s="193"/>
      <c r="I9" s="192" t="s">
        <v>159</v>
      </c>
      <c r="J9" s="193"/>
      <c r="K9" s="193"/>
    </row>
    <row r="10" spans="1:16" s="38" customFormat="1" ht="37.5" customHeight="1" x14ac:dyDescent="0.3">
      <c r="A10" s="190"/>
      <c r="B10" s="190"/>
      <c r="C10" s="190"/>
      <c r="D10" s="190"/>
      <c r="E10" s="191"/>
      <c r="F10" s="78" t="s">
        <v>160</v>
      </c>
      <c r="G10" s="44" t="s">
        <v>161</v>
      </c>
      <c r="H10" s="44" t="s">
        <v>162</v>
      </c>
      <c r="I10" s="44" t="s">
        <v>160</v>
      </c>
      <c r="J10" s="44" t="s">
        <v>161</v>
      </c>
      <c r="K10" s="44" t="s">
        <v>162</v>
      </c>
    </row>
    <row r="11" spans="1:16" s="40" customFormat="1" x14ac:dyDescent="0.3">
      <c r="A11" s="79" t="s">
        <v>12</v>
      </c>
      <c r="B11" s="79" t="s">
        <v>13</v>
      </c>
      <c r="C11" s="79" t="s">
        <v>14</v>
      </c>
      <c r="D11" s="79" t="s">
        <v>15</v>
      </c>
      <c r="E11" s="80">
        <v>5</v>
      </c>
      <c r="F11" s="79" t="s">
        <v>16</v>
      </c>
      <c r="G11" s="33">
        <v>6</v>
      </c>
      <c r="H11" s="39" t="s">
        <v>17</v>
      </c>
      <c r="I11" s="33">
        <v>7</v>
      </c>
      <c r="J11" s="39" t="s">
        <v>18</v>
      </c>
      <c r="K11" s="33">
        <v>8</v>
      </c>
    </row>
    <row r="12" spans="1:16" s="25" customFormat="1" ht="55.2" x14ac:dyDescent="0.3">
      <c r="A12" s="81" t="s">
        <v>2</v>
      </c>
      <c r="B12" s="82" t="s">
        <v>12</v>
      </c>
      <c r="C12" s="83" t="s">
        <v>191</v>
      </c>
      <c r="D12" s="84" t="s">
        <v>1</v>
      </c>
      <c r="E12" s="85" t="e">
        <f>#REF!+#REF!+#REF!+#REF!+#REF!</f>
        <v>#REF!</v>
      </c>
      <c r="F12" s="85" t="e">
        <f>SUM((E13*F13/E12),E14*F14/E12,E15*F15/E12,E16*F16/E12)</f>
        <v>#REF!</v>
      </c>
      <c r="G12" s="45">
        <v>540</v>
      </c>
      <c r="H12" s="45" t="e">
        <f>F12+G12</f>
        <v>#REF!</v>
      </c>
      <c r="I12" s="45" t="e">
        <f>F12*E12</f>
        <v>#REF!</v>
      </c>
      <c r="J12" s="45" t="e">
        <f>G12*E12</f>
        <v>#REF!</v>
      </c>
      <c r="K12" s="45" t="e">
        <f>I12+J12</f>
        <v>#REF!</v>
      </c>
    </row>
    <row r="13" spans="1:16" ht="50.25" customHeight="1" outlineLevel="1" x14ac:dyDescent="0.25">
      <c r="A13" s="86" t="s">
        <v>2</v>
      </c>
      <c r="B13" s="87" t="s">
        <v>13</v>
      </c>
      <c r="C13" s="88" t="s">
        <v>192</v>
      </c>
      <c r="D13" s="89" t="s">
        <v>7</v>
      </c>
      <c r="E13" s="90">
        <v>16.55</v>
      </c>
      <c r="F13" s="91">
        <v>4240</v>
      </c>
      <c r="G13" s="46"/>
      <c r="H13" s="46"/>
      <c r="I13" s="46">
        <f>E13*F13</f>
        <v>70172</v>
      </c>
      <c r="J13" s="46"/>
      <c r="K13" s="46"/>
    </row>
    <row r="14" spans="1:16" outlineLevel="1" x14ac:dyDescent="0.25">
      <c r="A14" s="86" t="s">
        <v>2</v>
      </c>
      <c r="B14" s="87" t="s">
        <v>14</v>
      </c>
      <c r="C14" s="88" t="s">
        <v>193</v>
      </c>
      <c r="D14" s="89" t="s">
        <v>6</v>
      </c>
      <c r="E14" s="90">
        <v>1855.8</v>
      </c>
      <c r="F14" s="91">
        <v>11.32</v>
      </c>
      <c r="G14" s="46"/>
      <c r="H14" s="46"/>
      <c r="I14" s="46">
        <f t="shared" ref="I14:I16" si="0">E14*F14</f>
        <v>21007.66</v>
      </c>
      <c r="J14" s="46"/>
      <c r="K14" s="46"/>
    </row>
    <row r="15" spans="1:16" outlineLevel="1" x14ac:dyDescent="0.25">
      <c r="A15" s="86" t="s">
        <v>2</v>
      </c>
      <c r="B15" s="87" t="s">
        <v>15</v>
      </c>
      <c r="C15" s="88" t="s">
        <v>194</v>
      </c>
      <c r="D15" s="89" t="s">
        <v>232</v>
      </c>
      <c r="E15" s="90">
        <v>61.86</v>
      </c>
      <c r="F15" s="91">
        <v>54</v>
      </c>
      <c r="G15" s="46"/>
      <c r="H15" s="46"/>
      <c r="I15" s="46">
        <f t="shared" si="0"/>
        <v>3340.44</v>
      </c>
      <c r="J15" s="46"/>
      <c r="K15" s="46"/>
    </row>
    <row r="16" spans="1:16" outlineLevel="1" x14ac:dyDescent="0.25">
      <c r="A16" s="86" t="s">
        <v>2</v>
      </c>
      <c r="B16" s="87" t="s">
        <v>16</v>
      </c>
      <c r="C16" s="88" t="s">
        <v>195</v>
      </c>
      <c r="D16" s="89" t="s">
        <v>8</v>
      </c>
      <c r="E16" s="92">
        <v>1701</v>
      </c>
      <c r="F16" s="91">
        <v>6.9</v>
      </c>
      <c r="G16" s="46"/>
      <c r="H16" s="46"/>
      <c r="I16" s="46">
        <f t="shared" si="0"/>
        <v>11736.9</v>
      </c>
      <c r="J16" s="46"/>
      <c r="K16" s="46"/>
    </row>
    <row r="17" spans="1:11" s="25" customFormat="1" ht="55.2" x14ac:dyDescent="0.3">
      <c r="A17" s="81" t="s">
        <v>143</v>
      </c>
      <c r="B17" s="82" t="s">
        <v>17</v>
      </c>
      <c r="C17" s="83" t="s">
        <v>196</v>
      </c>
      <c r="D17" s="84" t="s">
        <v>1</v>
      </c>
      <c r="E17" s="85" t="e">
        <f>#REF!+#REF!+#REF!+#REF!+#REF!</f>
        <v>#REF!</v>
      </c>
      <c r="F17" s="85" t="e">
        <f>SUM((E18*F18/E17),E19*F19/E17,E20*F20/E17,E21*F21/E17)</f>
        <v>#REF!</v>
      </c>
      <c r="G17" s="45">
        <v>540</v>
      </c>
      <c r="H17" s="45" t="e">
        <f>F17+G17</f>
        <v>#REF!</v>
      </c>
      <c r="I17" s="45" t="e">
        <f>F17*E17</f>
        <v>#REF!</v>
      </c>
      <c r="J17" s="45" t="e">
        <f>G17*E17</f>
        <v>#REF!</v>
      </c>
      <c r="K17" s="45" t="e">
        <f>I17+J17</f>
        <v>#REF!</v>
      </c>
    </row>
    <row r="18" spans="1:11" ht="41.4" outlineLevel="1" x14ac:dyDescent="0.25">
      <c r="A18" s="86" t="s">
        <v>143</v>
      </c>
      <c r="B18" s="87" t="s">
        <v>18</v>
      </c>
      <c r="C18" s="88" t="s">
        <v>192</v>
      </c>
      <c r="D18" s="89" t="s">
        <v>7</v>
      </c>
      <c r="E18" s="90">
        <v>93.33</v>
      </c>
      <c r="F18" s="91">
        <v>4240</v>
      </c>
      <c r="G18" s="46"/>
      <c r="H18" s="46"/>
      <c r="I18" s="46">
        <f>E18*F18</f>
        <v>395719.2</v>
      </c>
      <c r="J18" s="46"/>
      <c r="K18" s="46"/>
    </row>
    <row r="19" spans="1:11" outlineLevel="1" x14ac:dyDescent="0.25">
      <c r="A19" s="86" t="s">
        <v>143</v>
      </c>
      <c r="B19" s="87" t="s">
        <v>19</v>
      </c>
      <c r="C19" s="88" t="s">
        <v>193</v>
      </c>
      <c r="D19" s="89" t="s">
        <v>6</v>
      </c>
      <c r="E19" s="90">
        <v>10467.120000000001</v>
      </c>
      <c r="F19" s="91">
        <v>11.32</v>
      </c>
      <c r="G19" s="46"/>
      <c r="H19" s="46"/>
      <c r="I19" s="46">
        <f t="shared" ref="I19:I21" si="1">E19*F19</f>
        <v>118487.8</v>
      </c>
      <c r="J19" s="46"/>
      <c r="K19" s="46"/>
    </row>
    <row r="20" spans="1:11" outlineLevel="1" x14ac:dyDescent="0.25">
      <c r="A20" s="86" t="s">
        <v>143</v>
      </c>
      <c r="B20" s="87" t="s">
        <v>20</v>
      </c>
      <c r="C20" s="88" t="s">
        <v>194</v>
      </c>
      <c r="D20" s="89" t="s">
        <v>232</v>
      </c>
      <c r="E20" s="90">
        <v>348.9</v>
      </c>
      <c r="F20" s="91">
        <v>54</v>
      </c>
      <c r="G20" s="46"/>
      <c r="H20" s="46"/>
      <c r="I20" s="46">
        <f t="shared" si="1"/>
        <v>18840.599999999999</v>
      </c>
      <c r="J20" s="46"/>
      <c r="K20" s="46"/>
    </row>
    <row r="21" spans="1:11" outlineLevel="1" x14ac:dyDescent="0.25">
      <c r="A21" s="86" t="s">
        <v>143</v>
      </c>
      <c r="B21" s="87" t="s">
        <v>21</v>
      </c>
      <c r="C21" s="88" t="s">
        <v>195</v>
      </c>
      <c r="D21" s="89" t="s">
        <v>8</v>
      </c>
      <c r="E21" s="92">
        <v>9595</v>
      </c>
      <c r="F21" s="91">
        <v>6.9</v>
      </c>
      <c r="G21" s="46"/>
      <c r="H21" s="46"/>
      <c r="I21" s="46">
        <f t="shared" si="1"/>
        <v>66205.5</v>
      </c>
      <c r="J21" s="46"/>
      <c r="K21" s="46"/>
    </row>
    <row r="22" spans="1:11" s="25" customFormat="1" ht="55.2" x14ac:dyDescent="0.3">
      <c r="A22" s="81" t="s">
        <v>2</v>
      </c>
      <c r="B22" s="82" t="s">
        <v>22</v>
      </c>
      <c r="C22" s="83" t="s">
        <v>197</v>
      </c>
      <c r="D22" s="84" t="s">
        <v>1</v>
      </c>
      <c r="E22" s="85" t="e">
        <f>#REF!+#REF!+#REF!+#REF!+#REF!</f>
        <v>#REF!</v>
      </c>
      <c r="F22" s="85" t="e">
        <f>SUM((E23*F23/E22),E24*F24/E22,E25*F25/E22,E26*F26/E22)</f>
        <v>#REF!</v>
      </c>
      <c r="G22" s="45">
        <v>560</v>
      </c>
      <c r="H22" s="45" t="e">
        <f>F22+G22</f>
        <v>#REF!</v>
      </c>
      <c r="I22" s="45" t="e">
        <f>F22*E22</f>
        <v>#REF!</v>
      </c>
      <c r="J22" s="45" t="e">
        <f>G22*E22</f>
        <v>#REF!</v>
      </c>
      <c r="K22" s="45" t="e">
        <f>I22+J22</f>
        <v>#REF!</v>
      </c>
    </row>
    <row r="23" spans="1:11" ht="53.25" customHeight="1" outlineLevel="1" x14ac:dyDescent="0.25">
      <c r="A23" s="86" t="s">
        <v>2</v>
      </c>
      <c r="B23" s="87" t="s">
        <v>23</v>
      </c>
      <c r="C23" s="88" t="s">
        <v>198</v>
      </c>
      <c r="D23" s="89" t="s">
        <v>7</v>
      </c>
      <c r="E23" s="90">
        <v>106.62</v>
      </c>
      <c r="F23" s="91">
        <v>4240</v>
      </c>
      <c r="G23" s="46"/>
      <c r="H23" s="46"/>
      <c r="I23" s="46">
        <f>E23*F23</f>
        <v>452068.8</v>
      </c>
      <c r="J23" s="46"/>
      <c r="K23" s="46"/>
    </row>
    <row r="24" spans="1:11" outlineLevel="1" x14ac:dyDescent="0.25">
      <c r="A24" s="86" t="s">
        <v>2</v>
      </c>
      <c r="B24" s="87" t="s">
        <v>24</v>
      </c>
      <c r="C24" s="88" t="s">
        <v>193</v>
      </c>
      <c r="D24" s="89" t="s">
        <v>6</v>
      </c>
      <c r="E24" s="90">
        <v>7473.24</v>
      </c>
      <c r="F24" s="91">
        <v>11.32</v>
      </c>
      <c r="G24" s="46"/>
      <c r="H24" s="46"/>
      <c r="I24" s="46">
        <f t="shared" ref="I24:I26" si="2">E24*F24</f>
        <v>84597.08</v>
      </c>
      <c r="J24" s="46"/>
      <c r="K24" s="46"/>
    </row>
    <row r="25" spans="1:11" outlineLevel="1" x14ac:dyDescent="0.25">
      <c r="A25" s="86" t="s">
        <v>2</v>
      </c>
      <c r="B25" s="87" t="s">
        <v>25</v>
      </c>
      <c r="C25" s="88" t="s">
        <v>194</v>
      </c>
      <c r="D25" s="89" t="s">
        <v>232</v>
      </c>
      <c r="E25" s="90">
        <v>249.11</v>
      </c>
      <c r="F25" s="91">
        <v>54</v>
      </c>
      <c r="G25" s="46"/>
      <c r="H25" s="46"/>
      <c r="I25" s="46">
        <f t="shared" si="2"/>
        <v>13451.94</v>
      </c>
      <c r="J25" s="46"/>
      <c r="K25" s="46"/>
    </row>
    <row r="26" spans="1:11" outlineLevel="1" x14ac:dyDescent="0.25">
      <c r="A26" s="86" t="s">
        <v>2</v>
      </c>
      <c r="B26" s="87" t="s">
        <v>26</v>
      </c>
      <c r="C26" s="88" t="s">
        <v>195</v>
      </c>
      <c r="D26" s="89" t="s">
        <v>8</v>
      </c>
      <c r="E26" s="92">
        <v>6850</v>
      </c>
      <c r="F26" s="91">
        <v>6.9</v>
      </c>
      <c r="G26" s="46"/>
      <c r="H26" s="46"/>
      <c r="I26" s="46">
        <f t="shared" si="2"/>
        <v>47265</v>
      </c>
      <c r="J26" s="46"/>
      <c r="K26" s="46"/>
    </row>
    <row r="27" spans="1:11" s="25" customFormat="1" ht="55.2" x14ac:dyDescent="0.3">
      <c r="A27" s="81" t="s">
        <v>143</v>
      </c>
      <c r="B27" s="82" t="s">
        <v>27</v>
      </c>
      <c r="C27" s="83" t="s">
        <v>199</v>
      </c>
      <c r="D27" s="84" t="s">
        <v>1</v>
      </c>
      <c r="E27" s="85" t="e">
        <f>#REF!</f>
        <v>#REF!</v>
      </c>
      <c r="F27" s="85" t="e">
        <f>SUM((E28*F28/E27),E29*F29/E27,E30*F30/E27,E31*F31/E27)</f>
        <v>#REF!</v>
      </c>
      <c r="G27" s="45">
        <v>560</v>
      </c>
      <c r="H27" s="45" t="e">
        <f>F27+G27</f>
        <v>#REF!</v>
      </c>
      <c r="I27" s="45" t="e">
        <f>F27*E27</f>
        <v>#REF!</v>
      </c>
      <c r="J27" s="45" t="e">
        <f>G27*E27</f>
        <v>#REF!</v>
      </c>
      <c r="K27" s="45" t="e">
        <f>I27+J27</f>
        <v>#REF!</v>
      </c>
    </row>
    <row r="28" spans="1:11" ht="41.4" outlineLevel="1" x14ac:dyDescent="0.25">
      <c r="A28" s="86" t="s">
        <v>143</v>
      </c>
      <c r="B28" s="87" t="s">
        <v>28</v>
      </c>
      <c r="C28" s="88" t="s">
        <v>200</v>
      </c>
      <c r="D28" s="89" t="s">
        <v>7</v>
      </c>
      <c r="E28" s="90">
        <v>2.97</v>
      </c>
      <c r="F28" s="91">
        <v>4240</v>
      </c>
      <c r="G28" s="46"/>
      <c r="H28" s="46"/>
      <c r="I28" s="46">
        <f>E28*F28</f>
        <v>12592.8</v>
      </c>
      <c r="J28" s="46"/>
      <c r="K28" s="46"/>
    </row>
    <row r="29" spans="1:11" outlineLevel="1" x14ac:dyDescent="0.25">
      <c r="A29" s="86" t="s">
        <v>143</v>
      </c>
      <c r="B29" s="87" t="s">
        <v>29</v>
      </c>
      <c r="C29" s="88" t="s">
        <v>193</v>
      </c>
      <c r="D29" s="89" t="s">
        <v>6</v>
      </c>
      <c r="E29" s="90">
        <v>166.32</v>
      </c>
      <c r="F29" s="91">
        <v>11.32</v>
      </c>
      <c r="G29" s="46"/>
      <c r="H29" s="46"/>
      <c r="I29" s="46">
        <f t="shared" ref="I29:I31" si="3">E29*F29</f>
        <v>1882.74</v>
      </c>
      <c r="J29" s="46"/>
      <c r="K29" s="46"/>
    </row>
    <row r="30" spans="1:11" outlineLevel="1" x14ac:dyDescent="0.25">
      <c r="A30" s="86" t="s">
        <v>143</v>
      </c>
      <c r="B30" s="87" t="s">
        <v>30</v>
      </c>
      <c r="C30" s="88" t="s">
        <v>194</v>
      </c>
      <c r="D30" s="89" t="s">
        <v>232</v>
      </c>
      <c r="E30" s="90">
        <v>5.54</v>
      </c>
      <c r="F30" s="91">
        <v>54</v>
      </c>
      <c r="G30" s="46"/>
      <c r="H30" s="46"/>
      <c r="I30" s="46">
        <f t="shared" si="3"/>
        <v>299.16000000000003</v>
      </c>
      <c r="J30" s="46"/>
      <c r="K30" s="46"/>
    </row>
    <row r="31" spans="1:11" outlineLevel="1" x14ac:dyDescent="0.25">
      <c r="A31" s="86" t="s">
        <v>143</v>
      </c>
      <c r="B31" s="87" t="s">
        <v>31</v>
      </c>
      <c r="C31" s="88" t="s">
        <v>201</v>
      </c>
      <c r="D31" s="89" t="s">
        <v>8</v>
      </c>
      <c r="E31" s="92">
        <v>152</v>
      </c>
      <c r="F31" s="91">
        <v>7.5</v>
      </c>
      <c r="G31" s="46"/>
      <c r="H31" s="46"/>
      <c r="I31" s="46">
        <f t="shared" si="3"/>
        <v>1140</v>
      </c>
      <c r="J31" s="46"/>
      <c r="K31" s="46"/>
    </row>
    <row r="32" spans="1:11" s="25" customFormat="1" ht="55.2" x14ac:dyDescent="0.3">
      <c r="A32" s="81" t="s">
        <v>2</v>
      </c>
      <c r="B32" s="82" t="s">
        <v>32</v>
      </c>
      <c r="C32" s="83" t="s">
        <v>202</v>
      </c>
      <c r="D32" s="84" t="s">
        <v>1</v>
      </c>
      <c r="E32" s="85" t="e">
        <f>#REF!+#REF!+#REF!+#REF!+#REF!</f>
        <v>#REF!</v>
      </c>
      <c r="F32" s="85" t="e">
        <f>SUM((E33*F33/E32),E34*F34/E32,E35*F35/E32,E36*F36/E32)</f>
        <v>#REF!</v>
      </c>
      <c r="G32" s="45">
        <v>580</v>
      </c>
      <c r="H32" s="45" t="e">
        <f>F32+G32</f>
        <v>#REF!</v>
      </c>
      <c r="I32" s="45" t="e">
        <f>F32*E32</f>
        <v>#REF!</v>
      </c>
      <c r="J32" s="45" t="e">
        <f>G32*E32</f>
        <v>#REF!</v>
      </c>
      <c r="K32" s="45" t="e">
        <f>I32+J32</f>
        <v>#REF!</v>
      </c>
    </row>
    <row r="33" spans="1:11" ht="41.4" outlineLevel="1" x14ac:dyDescent="0.25">
      <c r="A33" s="86" t="s">
        <v>2</v>
      </c>
      <c r="B33" s="87" t="s">
        <v>33</v>
      </c>
      <c r="C33" s="88" t="s">
        <v>203</v>
      </c>
      <c r="D33" s="89" t="s">
        <v>7</v>
      </c>
      <c r="E33" s="90">
        <v>68.22</v>
      </c>
      <c r="F33" s="91">
        <v>4240</v>
      </c>
      <c r="G33" s="46"/>
      <c r="H33" s="46"/>
      <c r="I33" s="46">
        <f>E33*F33</f>
        <v>289252.8</v>
      </c>
      <c r="J33" s="46"/>
      <c r="K33" s="46"/>
    </row>
    <row r="34" spans="1:11" outlineLevel="1" x14ac:dyDescent="0.25">
      <c r="A34" s="86" t="s">
        <v>2</v>
      </c>
      <c r="B34" s="87" t="s">
        <v>34</v>
      </c>
      <c r="C34" s="88" t="s">
        <v>193</v>
      </c>
      <c r="D34" s="89" t="s">
        <v>6</v>
      </c>
      <c r="E34" s="90">
        <v>3187.8</v>
      </c>
      <c r="F34" s="91">
        <v>11.32</v>
      </c>
      <c r="G34" s="46"/>
      <c r="H34" s="46"/>
      <c r="I34" s="46">
        <f t="shared" ref="I34:I36" si="4">E34*F34</f>
        <v>36085.9</v>
      </c>
      <c r="J34" s="46"/>
      <c r="K34" s="46"/>
    </row>
    <row r="35" spans="1:11" outlineLevel="1" x14ac:dyDescent="0.25">
      <c r="A35" s="86" t="s">
        <v>2</v>
      </c>
      <c r="B35" s="87" t="s">
        <v>35</v>
      </c>
      <c r="C35" s="88" t="s">
        <v>194</v>
      </c>
      <c r="D35" s="89" t="s">
        <v>6</v>
      </c>
      <c r="E35" s="90">
        <v>106.26</v>
      </c>
      <c r="F35" s="91">
        <v>54</v>
      </c>
      <c r="G35" s="46"/>
      <c r="H35" s="46"/>
      <c r="I35" s="46">
        <f t="shared" si="4"/>
        <v>5738.04</v>
      </c>
      <c r="J35" s="46"/>
      <c r="K35" s="46"/>
    </row>
    <row r="36" spans="1:11" outlineLevel="1" x14ac:dyDescent="0.25">
      <c r="A36" s="86" t="s">
        <v>2</v>
      </c>
      <c r="B36" s="87" t="s">
        <v>36</v>
      </c>
      <c r="C36" s="88" t="s">
        <v>204</v>
      </c>
      <c r="D36" s="89" t="s">
        <v>8</v>
      </c>
      <c r="E36" s="92">
        <v>2922</v>
      </c>
      <c r="F36" s="91">
        <v>8.9</v>
      </c>
      <c r="G36" s="46"/>
      <c r="H36" s="46"/>
      <c r="I36" s="46">
        <f t="shared" si="4"/>
        <v>26005.8</v>
      </c>
      <c r="J36" s="46"/>
      <c r="K36" s="46"/>
    </row>
    <row r="37" spans="1:11" s="25" customFormat="1" ht="55.2" x14ac:dyDescent="0.3">
      <c r="A37" s="81" t="s">
        <v>2</v>
      </c>
      <c r="B37" s="82" t="s">
        <v>37</v>
      </c>
      <c r="C37" s="83" t="s">
        <v>205</v>
      </c>
      <c r="D37" s="84" t="s">
        <v>1</v>
      </c>
      <c r="E37" s="85" t="e">
        <f>#REF!+#REF!+#REF!+#REF!+#REF!+#REF!+#REF!</f>
        <v>#REF!</v>
      </c>
      <c r="F37" s="85" t="e">
        <f>SUM((E38*F38/E37),E39*F39/E37,E40*F40/E37,E41*F41/E37)</f>
        <v>#REF!</v>
      </c>
      <c r="G37" s="45">
        <v>580</v>
      </c>
      <c r="H37" s="45" t="e">
        <f>F37+G37</f>
        <v>#REF!</v>
      </c>
      <c r="I37" s="45" t="e">
        <f>F37*E37</f>
        <v>#REF!</v>
      </c>
      <c r="J37" s="45" t="e">
        <f>G37*E37</f>
        <v>#REF!</v>
      </c>
      <c r="K37" s="45" t="e">
        <f>I37+J37</f>
        <v>#REF!</v>
      </c>
    </row>
    <row r="38" spans="1:11" ht="41.4" outlineLevel="1" x14ac:dyDescent="0.25">
      <c r="A38" s="86" t="s">
        <v>2</v>
      </c>
      <c r="B38" s="87" t="s">
        <v>38</v>
      </c>
      <c r="C38" s="88" t="s">
        <v>206</v>
      </c>
      <c r="D38" s="89" t="s">
        <v>7</v>
      </c>
      <c r="E38" s="90">
        <v>237.32</v>
      </c>
      <c r="F38" s="91">
        <v>4240</v>
      </c>
      <c r="G38" s="46"/>
      <c r="H38" s="46"/>
      <c r="I38" s="46">
        <f>E38*F38</f>
        <v>1006236.8</v>
      </c>
      <c r="J38" s="46"/>
      <c r="K38" s="46"/>
    </row>
    <row r="39" spans="1:11" outlineLevel="1" x14ac:dyDescent="0.25">
      <c r="A39" s="86" t="s">
        <v>2</v>
      </c>
      <c r="B39" s="87" t="s">
        <v>39</v>
      </c>
      <c r="C39" s="88" t="s">
        <v>193</v>
      </c>
      <c r="D39" s="89" t="s">
        <v>6</v>
      </c>
      <c r="E39" s="90">
        <v>10236.84</v>
      </c>
      <c r="F39" s="91">
        <v>11.32</v>
      </c>
      <c r="G39" s="46"/>
      <c r="H39" s="46"/>
      <c r="I39" s="46">
        <f t="shared" ref="I39:I41" si="5">E39*F39</f>
        <v>115881.03</v>
      </c>
      <c r="J39" s="46"/>
      <c r="K39" s="46"/>
    </row>
    <row r="40" spans="1:11" outlineLevel="1" x14ac:dyDescent="0.25">
      <c r="A40" s="86" t="s">
        <v>2</v>
      </c>
      <c r="B40" s="87" t="s">
        <v>40</v>
      </c>
      <c r="C40" s="88" t="s">
        <v>194</v>
      </c>
      <c r="D40" s="89" t="s">
        <v>232</v>
      </c>
      <c r="E40" s="90">
        <v>341.23</v>
      </c>
      <c r="F40" s="91">
        <v>54</v>
      </c>
      <c r="G40" s="46"/>
      <c r="H40" s="46"/>
      <c r="I40" s="46">
        <f t="shared" si="5"/>
        <v>18426.419999999998</v>
      </c>
      <c r="J40" s="46"/>
      <c r="K40" s="46"/>
    </row>
    <row r="41" spans="1:11" outlineLevel="1" x14ac:dyDescent="0.25">
      <c r="A41" s="86" t="s">
        <v>2</v>
      </c>
      <c r="B41" s="87" t="s">
        <v>41</v>
      </c>
      <c r="C41" s="88" t="s">
        <v>204</v>
      </c>
      <c r="D41" s="89" t="s">
        <v>8</v>
      </c>
      <c r="E41" s="92">
        <v>9384</v>
      </c>
      <c r="F41" s="91">
        <v>8.9</v>
      </c>
      <c r="G41" s="46"/>
      <c r="H41" s="46"/>
      <c r="I41" s="46">
        <f t="shared" si="5"/>
        <v>83517.600000000006</v>
      </c>
      <c r="J41" s="46"/>
      <c r="K41" s="46"/>
    </row>
    <row r="42" spans="1:11" s="25" customFormat="1" ht="55.2" x14ac:dyDescent="0.3">
      <c r="A42" s="81" t="s">
        <v>2</v>
      </c>
      <c r="B42" s="82" t="s">
        <v>42</v>
      </c>
      <c r="C42" s="83" t="s">
        <v>207</v>
      </c>
      <c r="D42" s="84" t="s">
        <v>1</v>
      </c>
      <c r="E42" s="85" t="e">
        <f>#REF!</f>
        <v>#REF!</v>
      </c>
      <c r="F42" s="85" t="e">
        <f>SUM((E43*F43/E42),E44*F44/E42,E45*F45/E42,E46*F46/E42)</f>
        <v>#REF!</v>
      </c>
      <c r="G42" s="45">
        <v>580</v>
      </c>
      <c r="H42" s="45" t="e">
        <f>F42+G42</f>
        <v>#REF!</v>
      </c>
      <c r="I42" s="45" t="e">
        <f>F42*E42</f>
        <v>#REF!</v>
      </c>
      <c r="J42" s="45" t="e">
        <f>G42*E42</f>
        <v>#REF!</v>
      </c>
      <c r="K42" s="45" t="e">
        <f>I42+J42</f>
        <v>#REF!</v>
      </c>
    </row>
    <row r="43" spans="1:11" ht="41.4" outlineLevel="1" x14ac:dyDescent="0.25">
      <c r="A43" s="86" t="s">
        <v>2</v>
      </c>
      <c r="B43" s="87" t="s">
        <v>43</v>
      </c>
      <c r="C43" s="88" t="s">
        <v>206</v>
      </c>
      <c r="D43" s="89" t="s">
        <v>7</v>
      </c>
      <c r="E43" s="90">
        <v>13.09</v>
      </c>
      <c r="F43" s="91">
        <v>4240</v>
      </c>
      <c r="G43" s="46"/>
      <c r="H43" s="46"/>
      <c r="I43" s="46">
        <f>E43*F43</f>
        <v>55501.599999999999</v>
      </c>
      <c r="J43" s="46"/>
      <c r="K43" s="46"/>
    </row>
    <row r="44" spans="1:11" outlineLevel="1" x14ac:dyDescent="0.25">
      <c r="A44" s="86" t="s">
        <v>2</v>
      </c>
      <c r="B44" s="87" t="s">
        <v>44</v>
      </c>
      <c r="C44" s="88" t="s">
        <v>193</v>
      </c>
      <c r="D44" s="89" t="s">
        <v>6</v>
      </c>
      <c r="E44" s="90">
        <v>564.48</v>
      </c>
      <c r="F44" s="91">
        <v>11.32</v>
      </c>
      <c r="G44" s="46"/>
      <c r="H44" s="46"/>
      <c r="I44" s="46">
        <f t="shared" ref="I44:I46" si="6">E44*F44</f>
        <v>6389.91</v>
      </c>
      <c r="J44" s="46"/>
      <c r="K44" s="46"/>
    </row>
    <row r="45" spans="1:11" outlineLevel="1" x14ac:dyDescent="0.25">
      <c r="A45" s="86" t="s">
        <v>2</v>
      </c>
      <c r="B45" s="87" t="s">
        <v>45</v>
      </c>
      <c r="C45" s="88" t="s">
        <v>194</v>
      </c>
      <c r="D45" s="89" t="s">
        <v>232</v>
      </c>
      <c r="E45" s="90">
        <v>18.82</v>
      </c>
      <c r="F45" s="91">
        <v>54</v>
      </c>
      <c r="G45" s="46"/>
      <c r="H45" s="46"/>
      <c r="I45" s="46">
        <f t="shared" si="6"/>
        <v>1016.28</v>
      </c>
      <c r="J45" s="46"/>
      <c r="K45" s="46"/>
    </row>
    <row r="46" spans="1:11" outlineLevel="1" x14ac:dyDescent="0.25">
      <c r="A46" s="86" t="s">
        <v>2</v>
      </c>
      <c r="B46" s="87" t="s">
        <v>46</v>
      </c>
      <c r="C46" s="88" t="s">
        <v>204</v>
      </c>
      <c r="D46" s="89" t="s">
        <v>8</v>
      </c>
      <c r="E46" s="92">
        <v>517</v>
      </c>
      <c r="F46" s="91">
        <v>8.9</v>
      </c>
      <c r="G46" s="46"/>
      <c r="H46" s="46"/>
      <c r="I46" s="46">
        <f t="shared" si="6"/>
        <v>4601.3</v>
      </c>
      <c r="J46" s="46"/>
      <c r="K46" s="46"/>
    </row>
    <row r="47" spans="1:11" s="25" customFormat="1" ht="55.2" x14ac:dyDescent="0.3">
      <c r="A47" s="81" t="s">
        <v>143</v>
      </c>
      <c r="B47" s="82" t="s">
        <v>47</v>
      </c>
      <c r="C47" s="83" t="s">
        <v>208</v>
      </c>
      <c r="D47" s="84" t="s">
        <v>1</v>
      </c>
      <c r="E47" s="85" t="e">
        <f>#REF!+#REF!+#REF!+#REF!+#REF!</f>
        <v>#REF!</v>
      </c>
      <c r="F47" s="85" t="e">
        <f>SUM((E48*F48/E47),E49*F49/E47,E50*F50/E47,E51*F51/E47)</f>
        <v>#REF!</v>
      </c>
      <c r="G47" s="45">
        <v>580</v>
      </c>
      <c r="H47" s="45" t="e">
        <f>F47+G47</f>
        <v>#REF!</v>
      </c>
      <c r="I47" s="45" t="e">
        <f>F47*E47</f>
        <v>#REF!</v>
      </c>
      <c r="J47" s="45" t="e">
        <f>G47*E47</f>
        <v>#REF!</v>
      </c>
      <c r="K47" s="45" t="e">
        <f>I47+J47</f>
        <v>#REF!</v>
      </c>
    </row>
    <row r="48" spans="1:11" ht="41.4" outlineLevel="1" x14ac:dyDescent="0.25">
      <c r="A48" s="86" t="s">
        <v>143</v>
      </c>
      <c r="B48" s="87" t="s">
        <v>48</v>
      </c>
      <c r="C48" s="88" t="s">
        <v>206</v>
      </c>
      <c r="D48" s="89" t="s">
        <v>7</v>
      </c>
      <c r="E48" s="90">
        <v>215.08</v>
      </c>
      <c r="F48" s="91">
        <v>4240</v>
      </c>
      <c r="G48" s="46"/>
      <c r="H48" s="46"/>
      <c r="I48" s="46">
        <f>E48*F48</f>
        <v>911939.2</v>
      </c>
      <c r="J48" s="46"/>
      <c r="K48" s="46"/>
    </row>
    <row r="49" spans="1:11" outlineLevel="1" x14ac:dyDescent="0.25">
      <c r="A49" s="86" t="s">
        <v>143</v>
      </c>
      <c r="B49" s="87" t="s">
        <v>49</v>
      </c>
      <c r="C49" s="88" t="s">
        <v>193</v>
      </c>
      <c r="D49" s="89" t="s">
        <v>6</v>
      </c>
      <c r="E49" s="90">
        <v>9277.2000000000007</v>
      </c>
      <c r="F49" s="91">
        <v>11.32</v>
      </c>
      <c r="G49" s="46"/>
      <c r="H49" s="46"/>
      <c r="I49" s="46">
        <f t="shared" ref="I49:I51" si="7">E49*F49</f>
        <v>105017.9</v>
      </c>
      <c r="J49" s="46"/>
      <c r="K49" s="46"/>
    </row>
    <row r="50" spans="1:11" outlineLevel="1" x14ac:dyDescent="0.25">
      <c r="A50" s="86" t="s">
        <v>143</v>
      </c>
      <c r="B50" s="87" t="s">
        <v>50</v>
      </c>
      <c r="C50" s="88" t="s">
        <v>194</v>
      </c>
      <c r="D50" s="89" t="s">
        <v>232</v>
      </c>
      <c r="E50" s="90">
        <v>309.24</v>
      </c>
      <c r="F50" s="91">
        <v>54</v>
      </c>
      <c r="G50" s="46"/>
      <c r="H50" s="46"/>
      <c r="I50" s="46">
        <f t="shared" si="7"/>
        <v>16698.96</v>
      </c>
      <c r="J50" s="46"/>
      <c r="K50" s="46"/>
    </row>
    <row r="51" spans="1:11" outlineLevel="1" x14ac:dyDescent="0.25">
      <c r="A51" s="86" t="s">
        <v>143</v>
      </c>
      <c r="B51" s="87" t="s">
        <v>51</v>
      </c>
      <c r="C51" s="88" t="s">
        <v>204</v>
      </c>
      <c r="D51" s="89" t="s">
        <v>8</v>
      </c>
      <c r="E51" s="92">
        <v>8504</v>
      </c>
      <c r="F51" s="91">
        <v>8.9</v>
      </c>
      <c r="G51" s="46"/>
      <c r="H51" s="46"/>
      <c r="I51" s="46">
        <f t="shared" si="7"/>
        <v>75685.600000000006</v>
      </c>
      <c r="J51" s="46"/>
      <c r="K51" s="46"/>
    </row>
    <row r="52" spans="1:11" s="25" customFormat="1" ht="55.2" x14ac:dyDescent="0.3">
      <c r="A52" s="81" t="s">
        <v>143</v>
      </c>
      <c r="B52" s="82" t="s">
        <v>52</v>
      </c>
      <c r="C52" s="83" t="s">
        <v>209</v>
      </c>
      <c r="D52" s="84" t="s">
        <v>1</v>
      </c>
      <c r="E52" s="85" t="e">
        <f>#REF!+#REF!</f>
        <v>#REF!</v>
      </c>
      <c r="F52" s="85" t="e">
        <f>SUM((E53*F53/E52),E54*F54/E52,E55*F55/E52,E56*F56/E52)</f>
        <v>#REF!</v>
      </c>
      <c r="G52" s="45">
        <v>670</v>
      </c>
      <c r="H52" s="45" t="e">
        <f>F52+G52</f>
        <v>#REF!</v>
      </c>
      <c r="I52" s="45" t="e">
        <f>F52*E52</f>
        <v>#REF!</v>
      </c>
      <c r="J52" s="45" t="e">
        <f>G52*E52</f>
        <v>#REF!</v>
      </c>
      <c r="K52" s="45" t="e">
        <f>I52+J52</f>
        <v>#REF!</v>
      </c>
    </row>
    <row r="53" spans="1:11" ht="41.4" outlineLevel="1" x14ac:dyDescent="0.25">
      <c r="A53" s="86" t="s">
        <v>143</v>
      </c>
      <c r="B53" s="87" t="s">
        <v>53</v>
      </c>
      <c r="C53" s="88" t="s">
        <v>210</v>
      </c>
      <c r="D53" s="89" t="s">
        <v>7</v>
      </c>
      <c r="E53" s="90">
        <v>34.950000000000003</v>
      </c>
      <c r="F53" s="91">
        <v>4240</v>
      </c>
      <c r="G53" s="46"/>
      <c r="H53" s="46"/>
      <c r="I53" s="46">
        <f>E53*F53</f>
        <v>148188</v>
      </c>
      <c r="J53" s="46"/>
      <c r="K53" s="46"/>
    </row>
    <row r="54" spans="1:11" outlineLevel="1" x14ac:dyDescent="0.25">
      <c r="A54" s="86" t="s">
        <v>143</v>
      </c>
      <c r="B54" s="87" t="s">
        <v>54</v>
      </c>
      <c r="C54" s="88" t="s">
        <v>193</v>
      </c>
      <c r="D54" s="89" t="s">
        <v>6</v>
      </c>
      <c r="E54" s="90">
        <v>1306.44</v>
      </c>
      <c r="F54" s="91">
        <v>11.32</v>
      </c>
      <c r="G54" s="46"/>
      <c r="H54" s="46"/>
      <c r="I54" s="46">
        <f t="shared" ref="I54:I56" si="8">E54*F54</f>
        <v>14788.9</v>
      </c>
      <c r="J54" s="46"/>
      <c r="K54" s="46"/>
    </row>
    <row r="55" spans="1:11" outlineLevel="1" x14ac:dyDescent="0.25">
      <c r="A55" s="86" t="s">
        <v>143</v>
      </c>
      <c r="B55" s="87" t="s">
        <v>55</v>
      </c>
      <c r="C55" s="88" t="s">
        <v>194</v>
      </c>
      <c r="D55" s="89" t="s">
        <v>232</v>
      </c>
      <c r="E55" s="90">
        <v>43.55</v>
      </c>
      <c r="F55" s="91">
        <v>54</v>
      </c>
      <c r="G55" s="46"/>
      <c r="H55" s="46"/>
      <c r="I55" s="46">
        <f t="shared" si="8"/>
        <v>2351.6999999999998</v>
      </c>
      <c r="J55" s="46"/>
      <c r="K55" s="46"/>
    </row>
    <row r="56" spans="1:11" outlineLevel="1" x14ac:dyDescent="0.25">
      <c r="A56" s="86" t="s">
        <v>143</v>
      </c>
      <c r="B56" s="87" t="s">
        <v>56</v>
      </c>
      <c r="C56" s="88" t="s">
        <v>211</v>
      </c>
      <c r="D56" s="89" t="s">
        <v>8</v>
      </c>
      <c r="E56" s="92">
        <v>1198</v>
      </c>
      <c r="F56" s="91">
        <v>10.3</v>
      </c>
      <c r="G56" s="46"/>
      <c r="H56" s="46"/>
      <c r="I56" s="46">
        <f t="shared" si="8"/>
        <v>12339.4</v>
      </c>
      <c r="J56" s="46"/>
      <c r="K56" s="46"/>
    </row>
    <row r="57" spans="1:11" s="25" customFormat="1" ht="55.2" x14ac:dyDescent="0.3">
      <c r="A57" s="81" t="s">
        <v>2</v>
      </c>
      <c r="B57" s="82" t="s">
        <v>57</v>
      </c>
      <c r="C57" s="83" t="s">
        <v>212</v>
      </c>
      <c r="D57" s="84" t="s">
        <v>1</v>
      </c>
      <c r="E57" s="85" t="e">
        <f>#REF!+#REF!</f>
        <v>#REF!</v>
      </c>
      <c r="F57" s="85" t="e">
        <f>SUM((E58*F58/E57),E59*F59/E57,E60*F60/E57,E61*F61/E57)</f>
        <v>#REF!</v>
      </c>
      <c r="G57" s="45">
        <v>670</v>
      </c>
      <c r="H57" s="45" t="e">
        <f>F57+G57</f>
        <v>#REF!</v>
      </c>
      <c r="I57" s="45" t="e">
        <f>F57*E57</f>
        <v>#REF!</v>
      </c>
      <c r="J57" s="45" t="e">
        <f>G57*E57</f>
        <v>#REF!</v>
      </c>
      <c r="K57" s="45" t="e">
        <f>I57+J57</f>
        <v>#REF!</v>
      </c>
    </row>
    <row r="58" spans="1:11" ht="41.4" outlineLevel="1" x14ac:dyDescent="0.25">
      <c r="A58" s="86" t="s">
        <v>2</v>
      </c>
      <c r="B58" s="87" t="s">
        <v>58</v>
      </c>
      <c r="C58" s="88" t="s">
        <v>213</v>
      </c>
      <c r="D58" s="89" t="s">
        <v>7</v>
      </c>
      <c r="E58" s="90">
        <v>39.72</v>
      </c>
      <c r="F58" s="91">
        <v>4240</v>
      </c>
      <c r="G58" s="46"/>
      <c r="H58" s="46"/>
      <c r="I58" s="46">
        <f>E58*F58</f>
        <v>168412.79999999999</v>
      </c>
      <c r="J58" s="46"/>
      <c r="K58" s="46"/>
    </row>
    <row r="59" spans="1:11" outlineLevel="1" x14ac:dyDescent="0.25">
      <c r="A59" s="86" t="s">
        <v>2</v>
      </c>
      <c r="B59" s="87" t="s">
        <v>59</v>
      </c>
      <c r="C59" s="88" t="s">
        <v>193</v>
      </c>
      <c r="D59" s="89" t="s">
        <v>6</v>
      </c>
      <c r="E59" s="90">
        <v>1392</v>
      </c>
      <c r="F59" s="91">
        <v>11.32</v>
      </c>
      <c r="G59" s="46"/>
      <c r="H59" s="46"/>
      <c r="I59" s="46">
        <f t="shared" ref="I59:I61" si="9">E59*F59</f>
        <v>15757.44</v>
      </c>
      <c r="J59" s="46"/>
      <c r="K59" s="46"/>
    </row>
    <row r="60" spans="1:11" outlineLevel="1" x14ac:dyDescent="0.25">
      <c r="A60" s="86" t="s">
        <v>2</v>
      </c>
      <c r="B60" s="87" t="s">
        <v>60</v>
      </c>
      <c r="C60" s="88" t="s">
        <v>194</v>
      </c>
      <c r="D60" s="89" t="s">
        <v>232</v>
      </c>
      <c r="E60" s="90">
        <v>46.4</v>
      </c>
      <c r="F60" s="91">
        <v>54</v>
      </c>
      <c r="G60" s="46"/>
      <c r="H60" s="46"/>
      <c r="I60" s="46">
        <f t="shared" si="9"/>
        <v>2505.6</v>
      </c>
      <c r="J60" s="46"/>
      <c r="K60" s="46"/>
    </row>
    <row r="61" spans="1:11" outlineLevel="1" x14ac:dyDescent="0.25">
      <c r="A61" s="86" t="s">
        <v>2</v>
      </c>
      <c r="B61" s="87" t="s">
        <v>61</v>
      </c>
      <c r="C61" s="88" t="s">
        <v>214</v>
      </c>
      <c r="D61" s="89" t="s">
        <v>8</v>
      </c>
      <c r="E61" s="92">
        <v>1276</v>
      </c>
      <c r="F61" s="91">
        <v>11.6</v>
      </c>
      <c r="G61" s="46"/>
      <c r="H61" s="46"/>
      <c r="I61" s="46">
        <f t="shared" si="9"/>
        <v>14801.6</v>
      </c>
      <c r="J61" s="46"/>
      <c r="K61" s="46"/>
    </row>
    <row r="62" spans="1:11" s="25" customFormat="1" ht="55.2" x14ac:dyDescent="0.3">
      <c r="A62" s="81" t="s">
        <v>2</v>
      </c>
      <c r="B62" s="82" t="s">
        <v>62</v>
      </c>
      <c r="C62" s="83" t="s">
        <v>215</v>
      </c>
      <c r="D62" s="84" t="s">
        <v>1</v>
      </c>
      <c r="E62" s="85" t="e">
        <f>#REF!+#REF!+#REF!</f>
        <v>#REF!</v>
      </c>
      <c r="F62" s="85" t="e">
        <f>SUM((E63*F63/E62),E64*F64/E62,E65*F65/E62,E66*F66/E62)</f>
        <v>#REF!</v>
      </c>
      <c r="G62" s="45">
        <v>750</v>
      </c>
      <c r="H62" s="45" t="e">
        <f>F62+G62</f>
        <v>#REF!</v>
      </c>
      <c r="I62" s="45" t="e">
        <f>F62*E62</f>
        <v>#REF!</v>
      </c>
      <c r="J62" s="45" t="e">
        <f>G62*E62</f>
        <v>#REF!</v>
      </c>
      <c r="K62" s="45" t="e">
        <f>I62+J62</f>
        <v>#REF!</v>
      </c>
    </row>
    <row r="63" spans="1:11" ht="41.4" outlineLevel="1" x14ac:dyDescent="0.25">
      <c r="A63" s="86" t="s">
        <v>2</v>
      </c>
      <c r="B63" s="87" t="s">
        <v>63</v>
      </c>
      <c r="C63" s="88" t="s">
        <v>216</v>
      </c>
      <c r="D63" s="89" t="s">
        <v>7</v>
      </c>
      <c r="E63" s="90">
        <v>75.98</v>
      </c>
      <c r="F63" s="91">
        <v>4240</v>
      </c>
      <c r="G63" s="46"/>
      <c r="H63" s="46"/>
      <c r="I63" s="46">
        <f>E63*F63</f>
        <v>322155.2</v>
      </c>
      <c r="J63" s="46"/>
      <c r="K63" s="46"/>
    </row>
    <row r="64" spans="1:11" outlineLevel="1" x14ac:dyDescent="0.25">
      <c r="A64" s="86" t="s">
        <v>2</v>
      </c>
      <c r="B64" s="87" t="s">
        <v>64</v>
      </c>
      <c r="C64" s="88" t="s">
        <v>193</v>
      </c>
      <c r="D64" s="89" t="s">
        <v>6</v>
      </c>
      <c r="E64" s="90">
        <v>2130.3000000000002</v>
      </c>
      <c r="F64" s="91">
        <v>11.32</v>
      </c>
      <c r="G64" s="46"/>
      <c r="H64" s="46"/>
      <c r="I64" s="46">
        <f t="shared" ref="I64:I66" si="10">E64*F64</f>
        <v>24115</v>
      </c>
      <c r="J64" s="46"/>
      <c r="K64" s="46"/>
    </row>
    <row r="65" spans="1:11" outlineLevel="1" x14ac:dyDescent="0.25">
      <c r="A65" s="86" t="s">
        <v>2</v>
      </c>
      <c r="B65" s="87" t="s">
        <v>65</v>
      </c>
      <c r="C65" s="88" t="s">
        <v>194</v>
      </c>
      <c r="D65" s="89" t="s">
        <v>232</v>
      </c>
      <c r="E65" s="90">
        <v>71.010000000000005</v>
      </c>
      <c r="F65" s="91">
        <v>54</v>
      </c>
      <c r="G65" s="46"/>
      <c r="H65" s="46"/>
      <c r="I65" s="46">
        <f t="shared" si="10"/>
        <v>3834.54</v>
      </c>
      <c r="J65" s="46"/>
      <c r="K65" s="46"/>
    </row>
    <row r="66" spans="1:11" outlineLevel="1" x14ac:dyDescent="0.25">
      <c r="A66" s="86" t="s">
        <v>2</v>
      </c>
      <c r="B66" s="87" t="s">
        <v>66</v>
      </c>
      <c r="C66" s="88" t="s">
        <v>217</v>
      </c>
      <c r="D66" s="89" t="s">
        <v>8</v>
      </c>
      <c r="E66" s="92">
        <v>1953</v>
      </c>
      <c r="F66" s="91">
        <v>14.4</v>
      </c>
      <c r="G66" s="46"/>
      <c r="H66" s="46"/>
      <c r="I66" s="46">
        <f t="shared" si="10"/>
        <v>28123.200000000001</v>
      </c>
      <c r="J66" s="46"/>
      <c r="K66" s="46"/>
    </row>
    <row r="67" spans="1:11" s="25" customFormat="1" ht="55.2" x14ac:dyDescent="0.3">
      <c r="A67" s="81" t="s">
        <v>143</v>
      </c>
      <c r="B67" s="82" t="s">
        <v>67</v>
      </c>
      <c r="C67" s="83" t="s">
        <v>218</v>
      </c>
      <c r="D67" s="84" t="s">
        <v>1</v>
      </c>
      <c r="E67" s="85" t="e">
        <f>#REF!+#REF!+#REF!</f>
        <v>#REF!</v>
      </c>
      <c r="F67" s="85" t="e">
        <f>SUM((E68*F68/E67),E69*F69/E67,E70*F70/E67,E71*F71/E67)</f>
        <v>#REF!</v>
      </c>
      <c r="G67" s="45">
        <v>750</v>
      </c>
      <c r="H67" s="45" t="e">
        <f>F67+G67</f>
        <v>#REF!</v>
      </c>
      <c r="I67" s="45" t="e">
        <f>F67*E67</f>
        <v>#REF!</v>
      </c>
      <c r="J67" s="45" t="e">
        <f>G67*E67</f>
        <v>#REF!</v>
      </c>
      <c r="K67" s="45" t="e">
        <f>I67+J67</f>
        <v>#REF!</v>
      </c>
    </row>
    <row r="68" spans="1:11" ht="41.4" outlineLevel="1" x14ac:dyDescent="0.25">
      <c r="A68" s="86" t="s">
        <v>143</v>
      </c>
      <c r="B68" s="87" t="s">
        <v>68</v>
      </c>
      <c r="C68" s="88" t="s">
        <v>216</v>
      </c>
      <c r="D68" s="89" t="s">
        <v>7</v>
      </c>
      <c r="E68" s="90">
        <v>30.5</v>
      </c>
      <c r="F68" s="91">
        <v>4240</v>
      </c>
      <c r="G68" s="46"/>
      <c r="H68" s="46"/>
      <c r="I68" s="46">
        <f>E68*F68</f>
        <v>129320</v>
      </c>
      <c r="J68" s="46"/>
      <c r="K68" s="46"/>
    </row>
    <row r="69" spans="1:11" outlineLevel="1" x14ac:dyDescent="0.25">
      <c r="A69" s="86" t="s">
        <v>143</v>
      </c>
      <c r="B69" s="87" t="s">
        <v>69</v>
      </c>
      <c r="C69" s="88" t="s">
        <v>193</v>
      </c>
      <c r="D69" s="89" t="s">
        <v>6</v>
      </c>
      <c r="E69" s="90">
        <v>855.12</v>
      </c>
      <c r="F69" s="91">
        <v>11.32</v>
      </c>
      <c r="G69" s="46"/>
      <c r="H69" s="46"/>
      <c r="I69" s="46">
        <f t="shared" ref="I69:I71" si="11">E69*F69</f>
        <v>9679.9599999999991</v>
      </c>
      <c r="J69" s="46"/>
      <c r="K69" s="46"/>
    </row>
    <row r="70" spans="1:11" outlineLevel="1" x14ac:dyDescent="0.25">
      <c r="A70" s="86" t="s">
        <v>143</v>
      </c>
      <c r="B70" s="87" t="s">
        <v>70</v>
      </c>
      <c r="C70" s="88" t="s">
        <v>194</v>
      </c>
      <c r="D70" s="89" t="s">
        <v>232</v>
      </c>
      <c r="E70" s="90">
        <v>28.5</v>
      </c>
      <c r="F70" s="91">
        <v>54</v>
      </c>
      <c r="G70" s="46"/>
      <c r="H70" s="46"/>
      <c r="I70" s="46">
        <f t="shared" si="11"/>
        <v>1539</v>
      </c>
      <c r="J70" s="46"/>
      <c r="K70" s="46"/>
    </row>
    <row r="71" spans="1:11" outlineLevel="1" x14ac:dyDescent="0.25">
      <c r="A71" s="86" t="s">
        <v>143</v>
      </c>
      <c r="B71" s="87" t="s">
        <v>71</v>
      </c>
      <c r="C71" s="88" t="s">
        <v>217</v>
      </c>
      <c r="D71" s="89" t="s">
        <v>8</v>
      </c>
      <c r="E71" s="92">
        <v>784</v>
      </c>
      <c r="F71" s="91">
        <v>14.4</v>
      </c>
      <c r="G71" s="46"/>
      <c r="H71" s="46"/>
      <c r="I71" s="46">
        <f t="shared" si="11"/>
        <v>11289.6</v>
      </c>
      <c r="J71" s="46"/>
      <c r="K71" s="46"/>
    </row>
    <row r="72" spans="1:11" s="25" customFormat="1" ht="41.4" x14ac:dyDescent="0.3">
      <c r="A72" s="81" t="s">
        <v>144</v>
      </c>
      <c r="B72" s="82" t="s">
        <v>72</v>
      </c>
      <c r="C72" s="83" t="s">
        <v>219</v>
      </c>
      <c r="D72" s="84" t="s">
        <v>3</v>
      </c>
      <c r="E72" s="85" t="e">
        <f>#REF!+#REF!+#REF!+#REF!+#REF!+#REF!+#REF!+#REF!+#REF!+#REF!+#REF!</f>
        <v>#REF!</v>
      </c>
      <c r="F72" s="85" t="e">
        <f>SUM((E73*F73/E72),E74*F74/E72,E75*F75/E72,E76*F76/E72)</f>
        <v>#REF!</v>
      </c>
      <c r="G72" s="45">
        <v>250</v>
      </c>
      <c r="H72" s="45" t="e">
        <f>F72+G72</f>
        <v>#REF!</v>
      </c>
      <c r="I72" s="45" t="e">
        <f>F72*E72</f>
        <v>#REF!</v>
      </c>
      <c r="J72" s="45" t="e">
        <f>G72*E72</f>
        <v>#REF!</v>
      </c>
      <c r="K72" s="45" t="e">
        <f>I72+J72</f>
        <v>#REF!</v>
      </c>
    </row>
    <row r="73" spans="1:11" ht="50.25" customHeight="1" outlineLevel="1" x14ac:dyDescent="0.25">
      <c r="A73" s="86" t="s">
        <v>144</v>
      </c>
      <c r="B73" s="87" t="s">
        <v>73</v>
      </c>
      <c r="C73" s="88" t="s">
        <v>192</v>
      </c>
      <c r="D73" s="89" t="s">
        <v>7</v>
      </c>
      <c r="E73" s="90">
        <v>33.619999999999997</v>
      </c>
      <c r="F73" s="91">
        <v>4240</v>
      </c>
      <c r="G73" s="46"/>
      <c r="H73" s="46"/>
      <c r="I73" s="46">
        <f>E73*F73</f>
        <v>142548.79999999999</v>
      </c>
      <c r="J73" s="46"/>
      <c r="K73" s="46"/>
    </row>
    <row r="74" spans="1:11" outlineLevel="1" x14ac:dyDescent="0.25">
      <c r="A74" s="86" t="s">
        <v>144</v>
      </c>
      <c r="B74" s="87" t="s">
        <v>74</v>
      </c>
      <c r="C74" s="88" t="s">
        <v>193</v>
      </c>
      <c r="D74" s="89" t="s">
        <v>6</v>
      </c>
      <c r="E74" s="90">
        <v>3770.87</v>
      </c>
      <c r="F74" s="91">
        <v>11.32</v>
      </c>
      <c r="G74" s="46"/>
      <c r="H74" s="46"/>
      <c r="I74" s="46">
        <f t="shared" ref="I74:I76" si="12">E74*F74</f>
        <v>42686.25</v>
      </c>
      <c r="J74" s="46"/>
      <c r="K74" s="46"/>
    </row>
    <row r="75" spans="1:11" outlineLevel="1" x14ac:dyDescent="0.25">
      <c r="A75" s="86" t="s">
        <v>144</v>
      </c>
      <c r="B75" s="87" t="s">
        <v>75</v>
      </c>
      <c r="C75" s="88" t="s">
        <v>194</v>
      </c>
      <c r="D75" s="89" t="s">
        <v>232</v>
      </c>
      <c r="E75" s="90">
        <v>125.7</v>
      </c>
      <c r="F75" s="91">
        <v>54</v>
      </c>
      <c r="G75" s="46"/>
      <c r="H75" s="46"/>
      <c r="I75" s="46">
        <f t="shared" si="12"/>
        <v>6787.8</v>
      </c>
      <c r="J75" s="46"/>
      <c r="K75" s="46"/>
    </row>
    <row r="76" spans="1:11" outlineLevel="1" x14ac:dyDescent="0.25">
      <c r="A76" s="86" t="s">
        <v>144</v>
      </c>
      <c r="B76" s="87" t="s">
        <v>76</v>
      </c>
      <c r="C76" s="88" t="s">
        <v>195</v>
      </c>
      <c r="D76" s="89" t="s">
        <v>8</v>
      </c>
      <c r="E76" s="92">
        <v>20740</v>
      </c>
      <c r="F76" s="91">
        <v>6.9</v>
      </c>
      <c r="G76" s="46"/>
      <c r="H76" s="46"/>
      <c r="I76" s="46">
        <f t="shared" si="12"/>
        <v>143106</v>
      </c>
      <c r="J76" s="46"/>
      <c r="K76" s="46"/>
    </row>
    <row r="77" spans="1:11" s="25" customFormat="1" ht="41.4" x14ac:dyDescent="0.3">
      <c r="A77" s="81" t="s">
        <v>144</v>
      </c>
      <c r="B77" s="82" t="s">
        <v>77</v>
      </c>
      <c r="C77" s="83" t="s">
        <v>220</v>
      </c>
      <c r="D77" s="84" t="s">
        <v>3</v>
      </c>
      <c r="E77" s="85" t="e">
        <f>#REF!+#REF!</f>
        <v>#REF!</v>
      </c>
      <c r="F77" s="85" t="e">
        <f>SUM((E78*F78/E77),E79*F79/E77,E80*F80/E77,E81*F81/E77)</f>
        <v>#REF!</v>
      </c>
      <c r="G77" s="45">
        <v>400</v>
      </c>
      <c r="H77" s="45" t="e">
        <f>F77+G77</f>
        <v>#REF!</v>
      </c>
      <c r="I77" s="45" t="e">
        <f>F77*E77</f>
        <v>#REF!</v>
      </c>
      <c r="J77" s="45" t="e">
        <f>G77*E77</f>
        <v>#REF!</v>
      </c>
      <c r="K77" s="45" t="e">
        <f>I77+J77</f>
        <v>#REF!</v>
      </c>
    </row>
    <row r="78" spans="1:11" ht="46.5" customHeight="1" outlineLevel="1" x14ac:dyDescent="0.25">
      <c r="A78" s="86" t="s">
        <v>2</v>
      </c>
      <c r="B78" s="87" t="s">
        <v>78</v>
      </c>
      <c r="C78" s="88" t="s">
        <v>192</v>
      </c>
      <c r="D78" s="89" t="s">
        <v>7</v>
      </c>
      <c r="E78" s="93">
        <v>1.58</v>
      </c>
      <c r="F78" s="91">
        <v>4240</v>
      </c>
      <c r="G78" s="46"/>
      <c r="H78" s="46"/>
      <c r="I78" s="46">
        <f>E78*F78</f>
        <v>6699.2</v>
      </c>
      <c r="J78" s="46"/>
      <c r="K78" s="46"/>
    </row>
    <row r="79" spans="1:11" outlineLevel="1" x14ac:dyDescent="0.25">
      <c r="A79" s="86" t="s">
        <v>2</v>
      </c>
      <c r="B79" s="87" t="s">
        <v>79</v>
      </c>
      <c r="C79" s="88" t="s">
        <v>193</v>
      </c>
      <c r="D79" s="89" t="s">
        <v>6</v>
      </c>
      <c r="E79" s="93">
        <v>177.12</v>
      </c>
      <c r="F79" s="91">
        <v>11.32</v>
      </c>
      <c r="G79" s="46"/>
      <c r="H79" s="46"/>
      <c r="I79" s="46">
        <f t="shared" ref="I79:I81" si="13">E79*F79</f>
        <v>2005</v>
      </c>
      <c r="J79" s="46"/>
      <c r="K79" s="46"/>
    </row>
    <row r="80" spans="1:11" outlineLevel="1" x14ac:dyDescent="0.25">
      <c r="A80" s="86" t="s">
        <v>2</v>
      </c>
      <c r="B80" s="87" t="s">
        <v>80</v>
      </c>
      <c r="C80" s="88" t="s">
        <v>194</v>
      </c>
      <c r="D80" s="89" t="s">
        <v>6</v>
      </c>
      <c r="E80" s="93">
        <v>5.9</v>
      </c>
      <c r="F80" s="91">
        <v>54</v>
      </c>
      <c r="G80" s="46"/>
      <c r="H80" s="46"/>
      <c r="I80" s="46">
        <f t="shared" si="13"/>
        <v>318.60000000000002</v>
      </c>
      <c r="J80" s="46"/>
      <c r="K80" s="46"/>
    </row>
    <row r="81" spans="1:12" outlineLevel="1" x14ac:dyDescent="0.25">
      <c r="A81" s="86" t="s">
        <v>2</v>
      </c>
      <c r="B81" s="87" t="s">
        <v>81</v>
      </c>
      <c r="C81" s="88" t="s">
        <v>195</v>
      </c>
      <c r="D81" s="89" t="s">
        <v>8</v>
      </c>
      <c r="E81" s="94">
        <v>406</v>
      </c>
      <c r="F81" s="91">
        <v>6.9</v>
      </c>
      <c r="G81" s="46"/>
      <c r="H81" s="46"/>
      <c r="I81" s="46">
        <f t="shared" si="13"/>
        <v>2801.4</v>
      </c>
      <c r="J81" s="46"/>
      <c r="K81" s="46"/>
    </row>
    <row r="82" spans="1:12" s="26" customFormat="1" ht="27.6" x14ac:dyDescent="0.25">
      <c r="A82" s="95" t="s">
        <v>143</v>
      </c>
      <c r="B82" s="82" t="s">
        <v>82</v>
      </c>
      <c r="C82" s="83" t="s">
        <v>221</v>
      </c>
      <c r="D82" s="84" t="s">
        <v>1</v>
      </c>
      <c r="E82" s="85" t="e">
        <f>#REF!+#REF!+#REF!+#REF!+#REF!</f>
        <v>#REF!</v>
      </c>
      <c r="F82" s="85" t="e">
        <f>SUM((E83*F83/E82),E84*F84/E82,E85*F85/E82,)</f>
        <v>#REF!</v>
      </c>
      <c r="G82" s="45">
        <v>670</v>
      </c>
      <c r="H82" s="45" t="e">
        <f>F82+G82</f>
        <v>#REF!</v>
      </c>
      <c r="I82" s="45" t="e">
        <f>F82*E82</f>
        <v>#REF!</v>
      </c>
      <c r="J82" s="45" t="e">
        <f>G82*E82</f>
        <v>#REF!</v>
      </c>
      <c r="K82" s="45" t="e">
        <f>I82+J82</f>
        <v>#REF!</v>
      </c>
    </row>
    <row r="83" spans="1:12" outlineLevel="1" x14ac:dyDescent="0.25">
      <c r="A83" s="86" t="s">
        <v>143</v>
      </c>
      <c r="B83" s="87" t="s">
        <v>83</v>
      </c>
      <c r="C83" s="88" t="s">
        <v>222</v>
      </c>
      <c r="D83" s="89" t="s">
        <v>6</v>
      </c>
      <c r="E83" s="90">
        <v>21239.52</v>
      </c>
      <c r="F83" s="91">
        <v>12.48</v>
      </c>
      <c r="G83" s="46"/>
      <c r="H83" s="46"/>
      <c r="I83" s="46">
        <f>E83*F83</f>
        <v>265069.21000000002</v>
      </c>
      <c r="J83" s="46"/>
      <c r="K83" s="46"/>
    </row>
    <row r="84" spans="1:12" outlineLevel="1" x14ac:dyDescent="0.25">
      <c r="A84" s="86" t="s">
        <v>143</v>
      </c>
      <c r="B84" s="87" t="s">
        <v>84</v>
      </c>
      <c r="C84" s="88" t="s">
        <v>223</v>
      </c>
      <c r="D84" s="89" t="s">
        <v>1</v>
      </c>
      <c r="E84" s="90">
        <v>4070.91</v>
      </c>
      <c r="F84" s="91">
        <v>33.9</v>
      </c>
      <c r="G84" s="46"/>
      <c r="H84" s="46"/>
      <c r="I84" s="46">
        <f t="shared" ref="I84:I85" si="14">E84*F84</f>
        <v>138003.85</v>
      </c>
      <c r="J84" s="46"/>
      <c r="K84" s="46"/>
    </row>
    <row r="85" spans="1:12" outlineLevel="1" x14ac:dyDescent="0.25">
      <c r="A85" s="86" t="s">
        <v>143</v>
      </c>
      <c r="B85" s="87" t="s">
        <v>85</v>
      </c>
      <c r="C85" s="88" t="s">
        <v>11</v>
      </c>
      <c r="D85" s="89" t="s">
        <v>3</v>
      </c>
      <c r="E85" s="90">
        <v>5607.03</v>
      </c>
      <c r="F85" s="91">
        <f>41.81/2.5</f>
        <v>16.72</v>
      </c>
      <c r="G85" s="46"/>
      <c r="H85" s="46"/>
      <c r="I85" s="46">
        <f t="shared" si="14"/>
        <v>93749.54</v>
      </c>
      <c r="J85" s="46"/>
      <c r="K85" s="46"/>
    </row>
    <row r="86" spans="1:12" s="27" customFormat="1" ht="55.2" x14ac:dyDescent="0.25">
      <c r="A86" s="95" t="s">
        <v>2</v>
      </c>
      <c r="B86" s="82" t="s">
        <v>86</v>
      </c>
      <c r="C86" s="83" t="s">
        <v>224</v>
      </c>
      <c r="D86" s="84" t="s">
        <v>1</v>
      </c>
      <c r="E86" s="85" t="e">
        <f>#REF!+#REF!+#REF!+#REF!+#REF!+#REF!+#REF!+#REF!+#REF!+#REF!</f>
        <v>#REF!</v>
      </c>
      <c r="F86" s="85" t="e">
        <f>SUM((E87*F87/E86),E88*F88/E86,E89*F89/E86,E90*F90/E86,E91*F91/E86,E92*F92/E86,E93*F93/E86,E94*F94/E86)</f>
        <v>#REF!</v>
      </c>
      <c r="G86" s="45">
        <v>670</v>
      </c>
      <c r="H86" s="45" t="e">
        <f>F86+G86</f>
        <v>#REF!</v>
      </c>
      <c r="I86" s="45" t="e">
        <f>F86*E86</f>
        <v>#REF!</v>
      </c>
      <c r="J86" s="45" t="e">
        <f>G86*E86</f>
        <v>#REF!</v>
      </c>
      <c r="K86" s="45" t="e">
        <f>I86+J86</f>
        <v>#REF!</v>
      </c>
    </row>
    <row r="87" spans="1:12" outlineLevel="1" x14ac:dyDescent="0.25">
      <c r="A87" s="86" t="s">
        <v>2</v>
      </c>
      <c r="B87" s="87" t="s">
        <v>87</v>
      </c>
      <c r="C87" s="88" t="s">
        <v>222</v>
      </c>
      <c r="D87" s="87" t="s">
        <v>6</v>
      </c>
      <c r="E87" s="90">
        <v>26409.42</v>
      </c>
      <c r="F87" s="91">
        <v>12.48</v>
      </c>
      <c r="G87" s="46"/>
      <c r="H87" s="46"/>
      <c r="I87" s="46">
        <f t="shared" ref="I87:I116" si="15">E87*F87</f>
        <v>329589.56</v>
      </c>
      <c r="J87" s="46"/>
      <c r="K87" s="46"/>
    </row>
    <row r="88" spans="1:12" outlineLevel="1" x14ac:dyDescent="0.25">
      <c r="A88" s="86" t="s">
        <v>2</v>
      </c>
      <c r="B88" s="87" t="s">
        <v>88</v>
      </c>
      <c r="C88" s="88" t="s">
        <v>223</v>
      </c>
      <c r="D88" s="87" t="s">
        <v>1</v>
      </c>
      <c r="E88" s="90">
        <v>5061.8100000000004</v>
      </c>
      <c r="F88" s="91">
        <v>33.9</v>
      </c>
      <c r="G88" s="46"/>
      <c r="H88" s="46"/>
      <c r="I88" s="46">
        <f t="shared" si="15"/>
        <v>171595.36</v>
      </c>
      <c r="J88" s="46"/>
      <c r="K88" s="46"/>
      <c r="L88" s="24"/>
    </row>
    <row r="89" spans="1:12" outlineLevel="1" x14ac:dyDescent="0.25">
      <c r="A89" s="86" t="s">
        <v>2</v>
      </c>
      <c r="B89" s="87" t="s">
        <v>89</v>
      </c>
      <c r="C89" s="88" t="s">
        <v>11</v>
      </c>
      <c r="D89" s="87" t="s">
        <v>3</v>
      </c>
      <c r="E89" s="90">
        <v>10989.87</v>
      </c>
      <c r="F89" s="91">
        <f>41.81/2.5</f>
        <v>16.72</v>
      </c>
      <c r="G89" s="46"/>
      <c r="H89" s="46"/>
      <c r="I89" s="46">
        <f t="shared" si="15"/>
        <v>183750.63</v>
      </c>
      <c r="J89" s="46"/>
      <c r="K89" s="46"/>
    </row>
    <row r="90" spans="1:12" s="24" customFormat="1" outlineLevel="1" x14ac:dyDescent="0.25">
      <c r="A90" s="96" t="s">
        <v>2</v>
      </c>
      <c r="B90" s="87" t="s">
        <v>90</v>
      </c>
      <c r="C90" s="97" t="s">
        <v>127</v>
      </c>
      <c r="D90" s="98" t="s">
        <v>3</v>
      </c>
      <c r="E90" s="93">
        <v>1529.28</v>
      </c>
      <c r="F90" s="91">
        <f>147.67/2.5</f>
        <v>59.07</v>
      </c>
      <c r="G90" s="47"/>
      <c r="H90" s="47"/>
      <c r="I90" s="46">
        <f t="shared" si="15"/>
        <v>90334.57</v>
      </c>
      <c r="J90" s="47"/>
      <c r="K90" s="47"/>
    </row>
    <row r="91" spans="1:12" outlineLevel="1" x14ac:dyDescent="0.25">
      <c r="A91" s="86" t="s">
        <v>2</v>
      </c>
      <c r="B91" s="87" t="s">
        <v>91</v>
      </c>
      <c r="C91" s="88" t="s">
        <v>225</v>
      </c>
      <c r="D91" s="89" t="s">
        <v>232</v>
      </c>
      <c r="E91" s="90">
        <v>880.31</v>
      </c>
      <c r="F91" s="91">
        <v>88</v>
      </c>
      <c r="G91" s="46"/>
      <c r="H91" s="46"/>
      <c r="I91" s="46">
        <f t="shared" si="15"/>
        <v>77467.28</v>
      </c>
      <c r="J91" s="46"/>
      <c r="K91" s="46"/>
    </row>
    <row r="92" spans="1:12" outlineLevel="1" x14ac:dyDescent="0.25">
      <c r="A92" s="86" t="s">
        <v>2</v>
      </c>
      <c r="B92" s="87" t="s">
        <v>92</v>
      </c>
      <c r="C92" s="88" t="s">
        <v>226</v>
      </c>
      <c r="D92" s="87" t="s">
        <v>6</v>
      </c>
      <c r="E92" s="90">
        <v>10563.77</v>
      </c>
      <c r="F92" s="91">
        <v>15.44</v>
      </c>
      <c r="G92" s="46"/>
      <c r="H92" s="46"/>
      <c r="I92" s="46">
        <f t="shared" si="15"/>
        <v>163104.60999999999</v>
      </c>
      <c r="J92" s="46"/>
      <c r="K92" s="46"/>
    </row>
    <row r="93" spans="1:12" outlineLevel="1" x14ac:dyDescent="0.25">
      <c r="A93" s="86" t="s">
        <v>2</v>
      </c>
      <c r="B93" s="87" t="s">
        <v>93</v>
      </c>
      <c r="C93" s="88" t="s">
        <v>227</v>
      </c>
      <c r="D93" s="87" t="s">
        <v>228</v>
      </c>
      <c r="E93" s="90">
        <v>1320.47</v>
      </c>
      <c r="F93" s="91">
        <v>212</v>
      </c>
      <c r="G93" s="46"/>
      <c r="H93" s="46"/>
      <c r="I93" s="46">
        <f t="shared" si="15"/>
        <v>279939.64</v>
      </c>
      <c r="J93" s="46"/>
      <c r="K93" s="46"/>
    </row>
    <row r="94" spans="1:12" ht="16.5" hidden="1" customHeight="1" outlineLevel="1" x14ac:dyDescent="0.25">
      <c r="A94" s="86" t="s">
        <v>2</v>
      </c>
      <c r="B94" s="87" t="s">
        <v>94</v>
      </c>
      <c r="C94" s="88"/>
      <c r="D94" s="89"/>
      <c r="E94" s="90"/>
      <c r="F94" s="99"/>
      <c r="G94" s="46">
        <v>670</v>
      </c>
      <c r="H94" s="46"/>
      <c r="I94" s="46">
        <f t="shared" si="15"/>
        <v>0</v>
      </c>
      <c r="J94" s="46"/>
      <c r="K94" s="46"/>
    </row>
    <row r="95" spans="1:12" s="27" customFormat="1" ht="55.2" x14ac:dyDescent="0.25">
      <c r="A95" s="95" t="s">
        <v>2</v>
      </c>
      <c r="B95" s="82" t="s">
        <v>95</v>
      </c>
      <c r="C95" s="83" t="s">
        <v>229</v>
      </c>
      <c r="D95" s="84" t="s">
        <v>1</v>
      </c>
      <c r="E95" s="85" t="e">
        <f>#REF!</f>
        <v>#REF!</v>
      </c>
      <c r="F95" s="85" t="e">
        <f>SUM((E96*F96/E95),E97*F97/E95,E98*F98/E95,E99*F99/E95,E100*F100/E95,E101*F101/E95)</f>
        <v>#REF!</v>
      </c>
      <c r="G95" s="45">
        <v>670</v>
      </c>
      <c r="H95" s="45" t="e">
        <f>F95+G95</f>
        <v>#REF!</v>
      </c>
      <c r="I95" s="45" t="e">
        <f>F95*E95</f>
        <v>#REF!</v>
      </c>
      <c r="J95" s="45" t="e">
        <f>G95*E95</f>
        <v>#REF!</v>
      </c>
      <c r="K95" s="45" t="e">
        <f>I95+J95</f>
        <v>#REF!</v>
      </c>
    </row>
    <row r="96" spans="1:12" outlineLevel="1" x14ac:dyDescent="0.25">
      <c r="A96" s="86" t="s">
        <v>2</v>
      </c>
      <c r="B96" s="87" t="s">
        <v>96</v>
      </c>
      <c r="C96" s="88" t="s">
        <v>222</v>
      </c>
      <c r="D96" s="89" t="s">
        <v>6</v>
      </c>
      <c r="E96" s="90">
        <v>567.05999999999995</v>
      </c>
      <c r="F96" s="91">
        <v>12.48</v>
      </c>
      <c r="G96" s="46"/>
      <c r="H96" s="46"/>
      <c r="I96" s="46">
        <f t="shared" si="15"/>
        <v>7076.91</v>
      </c>
      <c r="J96" s="46"/>
      <c r="K96" s="46"/>
    </row>
    <row r="97" spans="1:11" outlineLevel="1" x14ac:dyDescent="0.25">
      <c r="A97" s="86" t="s">
        <v>2</v>
      </c>
      <c r="B97" s="87" t="s">
        <v>97</v>
      </c>
      <c r="C97" s="88" t="s">
        <v>223</v>
      </c>
      <c r="D97" s="89" t="s">
        <v>1</v>
      </c>
      <c r="E97" s="90">
        <v>108.69</v>
      </c>
      <c r="F97" s="91">
        <v>33.9</v>
      </c>
      <c r="G97" s="46"/>
      <c r="H97" s="46"/>
      <c r="I97" s="46">
        <f t="shared" si="15"/>
        <v>3684.59</v>
      </c>
      <c r="J97" s="46"/>
      <c r="K97" s="46"/>
    </row>
    <row r="98" spans="1:11" outlineLevel="1" x14ac:dyDescent="0.25">
      <c r="A98" s="86" t="s">
        <v>2</v>
      </c>
      <c r="B98" s="87" t="s">
        <v>98</v>
      </c>
      <c r="C98" s="88" t="s">
        <v>225</v>
      </c>
      <c r="D98" s="89" t="s">
        <v>232</v>
      </c>
      <c r="E98" s="90">
        <v>18.899999999999999</v>
      </c>
      <c r="F98" s="91">
        <v>88</v>
      </c>
      <c r="G98" s="46"/>
      <c r="H98" s="46"/>
      <c r="I98" s="46">
        <f t="shared" si="15"/>
        <v>1663.2</v>
      </c>
      <c r="J98" s="46"/>
      <c r="K98" s="46"/>
    </row>
    <row r="99" spans="1:11" outlineLevel="1" x14ac:dyDescent="0.25">
      <c r="A99" s="86" t="s">
        <v>2</v>
      </c>
      <c r="B99" s="87" t="s">
        <v>99</v>
      </c>
      <c r="C99" s="88" t="s">
        <v>226</v>
      </c>
      <c r="D99" s="89" t="s">
        <v>6</v>
      </c>
      <c r="E99" s="90">
        <v>226.82</v>
      </c>
      <c r="F99" s="91">
        <v>15.44</v>
      </c>
      <c r="G99" s="46"/>
      <c r="H99" s="46"/>
      <c r="I99" s="46">
        <f t="shared" si="15"/>
        <v>3502.1</v>
      </c>
      <c r="J99" s="46"/>
      <c r="K99" s="46"/>
    </row>
    <row r="100" spans="1:11" outlineLevel="1" x14ac:dyDescent="0.25">
      <c r="A100" s="86" t="s">
        <v>2</v>
      </c>
      <c r="B100" s="87" t="s">
        <v>100</v>
      </c>
      <c r="C100" s="88" t="s">
        <v>227</v>
      </c>
      <c r="D100" s="89" t="s">
        <v>228</v>
      </c>
      <c r="E100" s="90">
        <v>28.35</v>
      </c>
      <c r="F100" s="91">
        <v>212</v>
      </c>
      <c r="G100" s="46"/>
      <c r="H100" s="46"/>
      <c r="I100" s="46">
        <f t="shared" si="15"/>
        <v>6010.2</v>
      </c>
      <c r="J100" s="46"/>
      <c r="K100" s="46"/>
    </row>
    <row r="101" spans="1:11" ht="19.5" hidden="1" customHeight="1" outlineLevel="1" x14ac:dyDescent="0.25">
      <c r="A101" s="86"/>
      <c r="B101" s="87"/>
      <c r="C101" s="88"/>
      <c r="D101" s="89"/>
      <c r="E101" s="90"/>
      <c r="F101" s="99"/>
      <c r="G101" s="46"/>
      <c r="H101" s="46"/>
      <c r="I101" s="46">
        <f t="shared" si="15"/>
        <v>0</v>
      </c>
      <c r="J101" s="46"/>
      <c r="K101" s="46"/>
    </row>
    <row r="102" spans="1:11" s="27" customFormat="1" ht="69" x14ac:dyDescent="0.25">
      <c r="A102" s="95" t="s">
        <v>144</v>
      </c>
      <c r="B102" s="82" t="s">
        <v>101</v>
      </c>
      <c r="C102" s="83" t="s">
        <v>230</v>
      </c>
      <c r="D102" s="84" t="s">
        <v>3</v>
      </c>
      <c r="E102" s="85" t="e">
        <f>#REF!+#REF!+#REF!+#REF!+#REF!+#REF!+#REF!+#REF!+#REF!+#REF!</f>
        <v>#REF!</v>
      </c>
      <c r="F102" s="85" t="e">
        <f>SUM((E103*F103/E102),E104*F104/E102,E105*F105/E102,E106*F106/E102,E107*F107/E102,E108*F108/E102)</f>
        <v>#REF!</v>
      </c>
      <c r="G102" s="45">
        <v>335</v>
      </c>
      <c r="H102" s="45" t="e">
        <f>F102+G102</f>
        <v>#REF!</v>
      </c>
      <c r="I102" s="45" t="e">
        <f>F102*E102</f>
        <v>#REF!</v>
      </c>
      <c r="J102" s="45" t="e">
        <f>G102*E102</f>
        <v>#REF!</v>
      </c>
      <c r="K102" s="45" t="e">
        <f>I102+J102</f>
        <v>#REF!</v>
      </c>
    </row>
    <row r="103" spans="1:11" outlineLevel="1" x14ac:dyDescent="0.25">
      <c r="A103" s="86" t="s">
        <v>144</v>
      </c>
      <c r="B103" s="87" t="s">
        <v>102</v>
      </c>
      <c r="C103" s="88" t="s">
        <v>222</v>
      </c>
      <c r="D103" s="89" t="s">
        <v>6</v>
      </c>
      <c r="E103" s="90">
        <v>4766.34</v>
      </c>
      <c r="F103" s="91">
        <v>12.48</v>
      </c>
      <c r="G103" s="46"/>
      <c r="H103" s="46"/>
      <c r="I103" s="46">
        <f t="shared" si="15"/>
        <v>59483.92</v>
      </c>
      <c r="J103" s="46"/>
      <c r="K103" s="46"/>
    </row>
    <row r="104" spans="1:11" outlineLevel="1" x14ac:dyDescent="0.25">
      <c r="A104" s="86" t="s">
        <v>144</v>
      </c>
      <c r="B104" s="87" t="s">
        <v>103</v>
      </c>
      <c r="C104" s="88" t="s">
        <v>223</v>
      </c>
      <c r="D104" s="89" t="s">
        <v>1</v>
      </c>
      <c r="E104" s="90">
        <v>913.55</v>
      </c>
      <c r="F104" s="91">
        <v>33.9</v>
      </c>
      <c r="G104" s="46"/>
      <c r="H104" s="46"/>
      <c r="I104" s="46">
        <f t="shared" si="15"/>
        <v>30969.35</v>
      </c>
      <c r="J104" s="46"/>
      <c r="K104" s="46"/>
    </row>
    <row r="105" spans="1:11" outlineLevel="1" x14ac:dyDescent="0.25">
      <c r="A105" s="86" t="s">
        <v>144</v>
      </c>
      <c r="B105" s="87" t="s">
        <v>104</v>
      </c>
      <c r="C105" s="88" t="s">
        <v>225</v>
      </c>
      <c r="D105" s="89" t="s">
        <v>232</v>
      </c>
      <c r="E105" s="90">
        <v>158.88</v>
      </c>
      <c r="F105" s="91">
        <v>88</v>
      </c>
      <c r="G105" s="46"/>
      <c r="H105" s="46"/>
      <c r="I105" s="46">
        <f t="shared" si="15"/>
        <v>13981.44</v>
      </c>
      <c r="J105" s="46"/>
      <c r="K105" s="46"/>
    </row>
    <row r="106" spans="1:11" outlineLevel="1" x14ac:dyDescent="0.25">
      <c r="A106" s="86" t="s">
        <v>144</v>
      </c>
      <c r="B106" s="87" t="s">
        <v>105</v>
      </c>
      <c r="C106" s="88" t="s">
        <v>226</v>
      </c>
      <c r="D106" s="89" t="s">
        <v>6</v>
      </c>
      <c r="E106" s="90">
        <v>1906.54</v>
      </c>
      <c r="F106" s="91">
        <v>15.44</v>
      </c>
      <c r="G106" s="46"/>
      <c r="H106" s="46"/>
      <c r="I106" s="46">
        <f t="shared" si="15"/>
        <v>29436.98</v>
      </c>
      <c r="J106" s="46"/>
      <c r="K106" s="46"/>
    </row>
    <row r="107" spans="1:11" outlineLevel="1" x14ac:dyDescent="0.25">
      <c r="A107" s="86" t="s">
        <v>144</v>
      </c>
      <c r="B107" s="87" t="s">
        <v>106</v>
      </c>
      <c r="C107" s="88" t="s">
        <v>227</v>
      </c>
      <c r="D107" s="89" t="s">
        <v>228</v>
      </c>
      <c r="E107" s="90">
        <v>238.32</v>
      </c>
      <c r="F107" s="91">
        <v>212</v>
      </c>
      <c r="G107" s="46"/>
      <c r="H107" s="46"/>
      <c r="I107" s="46">
        <f t="shared" si="15"/>
        <v>50523.839999999997</v>
      </c>
      <c r="J107" s="46"/>
      <c r="K107" s="46"/>
    </row>
    <row r="108" spans="1:11" ht="6.75" hidden="1" customHeight="1" outlineLevel="1" x14ac:dyDescent="0.25">
      <c r="A108" s="86"/>
      <c r="B108" s="87"/>
      <c r="C108" s="88"/>
      <c r="D108" s="89"/>
      <c r="E108" s="90"/>
      <c r="F108" s="99"/>
      <c r="G108" s="46"/>
      <c r="H108" s="46"/>
      <c r="I108" s="46">
        <f t="shared" si="15"/>
        <v>0</v>
      </c>
      <c r="J108" s="46"/>
      <c r="K108" s="46"/>
    </row>
    <row r="109" spans="1:11" s="27" customFormat="1" ht="27.6" x14ac:dyDescent="0.25">
      <c r="A109" s="95" t="s">
        <v>144</v>
      </c>
      <c r="B109" s="82" t="s">
        <v>107</v>
      </c>
      <c r="C109" s="83" t="s">
        <v>231</v>
      </c>
      <c r="D109" s="84" t="s">
        <v>3</v>
      </c>
      <c r="E109" s="85" t="e">
        <f>#REF!+#REF!+#REF!+#REF!+#REF!</f>
        <v>#REF!</v>
      </c>
      <c r="F109" s="85" t="e">
        <f>SUM((E110*F110/E109),E111*F111/E109)</f>
        <v>#REF!</v>
      </c>
      <c r="G109" s="45">
        <v>335</v>
      </c>
      <c r="H109" s="45" t="e">
        <f>F109+G109</f>
        <v>#REF!</v>
      </c>
      <c r="I109" s="45" t="e">
        <f>F109*E109</f>
        <v>#REF!</v>
      </c>
      <c r="J109" s="45" t="e">
        <f>G109*E109</f>
        <v>#REF!</v>
      </c>
      <c r="K109" s="45" t="e">
        <f>I109+J109</f>
        <v>#REF!</v>
      </c>
    </row>
    <row r="110" spans="1:11" outlineLevel="1" x14ac:dyDescent="0.25">
      <c r="A110" s="86" t="s">
        <v>144</v>
      </c>
      <c r="B110" s="87" t="s">
        <v>108</v>
      </c>
      <c r="C110" s="88" t="s">
        <v>222</v>
      </c>
      <c r="D110" s="89" t="s">
        <v>6</v>
      </c>
      <c r="E110" s="90">
        <v>2906.34</v>
      </c>
      <c r="F110" s="91">
        <v>12.48</v>
      </c>
      <c r="G110" s="46"/>
      <c r="H110" s="46"/>
      <c r="I110" s="46">
        <f t="shared" si="15"/>
        <v>36271.120000000003</v>
      </c>
      <c r="J110" s="46"/>
      <c r="K110" s="46"/>
    </row>
    <row r="111" spans="1:11" outlineLevel="1" x14ac:dyDescent="0.25">
      <c r="A111" s="86" t="s">
        <v>144</v>
      </c>
      <c r="B111" s="87" t="s">
        <v>109</v>
      </c>
      <c r="C111" s="88" t="s">
        <v>223</v>
      </c>
      <c r="D111" s="89" t="s">
        <v>1</v>
      </c>
      <c r="E111" s="90">
        <v>557.04999999999995</v>
      </c>
      <c r="F111" s="91">
        <v>33.9</v>
      </c>
      <c r="G111" s="46"/>
      <c r="H111" s="46"/>
      <c r="I111" s="46">
        <f t="shared" si="15"/>
        <v>18884</v>
      </c>
      <c r="J111" s="46"/>
      <c r="K111" s="46"/>
    </row>
    <row r="112" spans="1:11" s="27" customFormat="1" x14ac:dyDescent="0.25">
      <c r="A112" s="95" t="s">
        <v>2</v>
      </c>
      <c r="B112" s="82" t="s">
        <v>110</v>
      </c>
      <c r="C112" s="100" t="s">
        <v>131</v>
      </c>
      <c r="D112" s="84" t="s">
        <v>3</v>
      </c>
      <c r="E112" s="85" t="e">
        <f>#REF!+#REF!</f>
        <v>#REF!</v>
      </c>
      <c r="F112" s="85" t="e">
        <f>SUM((E113*F113/E112),E114*F114/E112)</f>
        <v>#REF!</v>
      </c>
      <c r="G112" s="45">
        <v>350</v>
      </c>
      <c r="H112" s="45" t="e">
        <f>F112+G112</f>
        <v>#REF!</v>
      </c>
      <c r="I112" s="45" t="e">
        <f>F112*E112</f>
        <v>#REF!</v>
      </c>
      <c r="J112" s="45" t="e">
        <f>G112*E112</f>
        <v>#REF!</v>
      </c>
      <c r="K112" s="45" t="e">
        <f>I112+J112</f>
        <v>#REF!</v>
      </c>
    </row>
    <row r="113" spans="1:11" outlineLevel="1" x14ac:dyDescent="0.25">
      <c r="A113" s="101" t="s">
        <v>2</v>
      </c>
      <c r="B113" s="87" t="s">
        <v>111</v>
      </c>
      <c r="C113" s="88" t="s">
        <v>128</v>
      </c>
      <c r="D113" s="89" t="s">
        <v>3</v>
      </c>
      <c r="E113" s="90" t="e">
        <f>E112*1.05</f>
        <v>#REF!</v>
      </c>
      <c r="F113" s="91">
        <f>442/30</f>
        <v>14.73</v>
      </c>
      <c r="G113" s="46"/>
      <c r="H113" s="46"/>
      <c r="I113" s="46" t="e">
        <f t="shared" si="15"/>
        <v>#REF!</v>
      </c>
      <c r="J113" s="46"/>
      <c r="K113" s="46"/>
    </row>
    <row r="114" spans="1:11" outlineLevel="1" x14ac:dyDescent="0.25">
      <c r="A114" s="101" t="s">
        <v>2</v>
      </c>
      <c r="B114" s="87" t="s">
        <v>112</v>
      </c>
      <c r="C114" s="88" t="s">
        <v>129</v>
      </c>
      <c r="D114" s="89" t="s">
        <v>8</v>
      </c>
      <c r="E114" s="92" t="e">
        <f>E112/5</f>
        <v>#REF!</v>
      </c>
      <c r="F114" s="91">
        <v>800</v>
      </c>
      <c r="G114" s="46"/>
      <c r="H114" s="46"/>
      <c r="I114" s="46" t="e">
        <f t="shared" si="15"/>
        <v>#REF!</v>
      </c>
      <c r="J114" s="46"/>
      <c r="K114" s="46"/>
    </row>
    <row r="115" spans="1:11" s="27" customFormat="1" x14ac:dyDescent="0.25">
      <c r="A115" s="95" t="s">
        <v>2</v>
      </c>
      <c r="B115" s="82" t="s">
        <v>113</v>
      </c>
      <c r="C115" s="100" t="s">
        <v>132</v>
      </c>
      <c r="D115" s="84" t="s">
        <v>3</v>
      </c>
      <c r="E115" s="85" t="e">
        <f>#REF!</f>
        <v>#REF!</v>
      </c>
      <c r="F115" s="85" t="e">
        <f>SUM((E116*F116/E115))</f>
        <v>#REF!</v>
      </c>
      <c r="G115" s="45">
        <v>250</v>
      </c>
      <c r="H115" s="45" t="e">
        <f>F115+G115</f>
        <v>#REF!</v>
      </c>
      <c r="I115" s="45" t="e">
        <f>F115*E115</f>
        <v>#REF!</v>
      </c>
      <c r="J115" s="45" t="e">
        <f>G115*E115</f>
        <v>#REF!</v>
      </c>
      <c r="K115" s="45" t="e">
        <f>I115+J115</f>
        <v>#REF!</v>
      </c>
    </row>
    <row r="116" spans="1:11" outlineLevel="1" x14ac:dyDescent="0.25">
      <c r="A116" s="101" t="s">
        <v>2</v>
      </c>
      <c r="B116" s="87" t="s">
        <v>114</v>
      </c>
      <c r="C116" s="88" t="s">
        <v>130</v>
      </c>
      <c r="D116" s="89" t="s">
        <v>3</v>
      </c>
      <c r="E116" s="90" t="e">
        <f>E115</f>
        <v>#REF!</v>
      </c>
      <c r="F116" s="91">
        <v>260.3</v>
      </c>
      <c r="G116" s="46"/>
      <c r="H116" s="46"/>
      <c r="I116" s="46" t="e">
        <f t="shared" si="15"/>
        <v>#REF!</v>
      </c>
      <c r="J116" s="46"/>
      <c r="K116" s="46"/>
    </row>
    <row r="117" spans="1:11" s="27" customFormat="1" x14ac:dyDescent="0.25">
      <c r="A117" s="95" t="s">
        <v>142</v>
      </c>
      <c r="B117" s="82" t="s">
        <v>115</v>
      </c>
      <c r="C117" s="100" t="s">
        <v>9</v>
      </c>
      <c r="D117" s="84" t="s">
        <v>3</v>
      </c>
      <c r="E117" s="85" t="e">
        <f>#REF!+#REF!+#REF!+#REF!+#REF!+#REF!+#REF!+#REF!+#REF!+#REF!+#REF!+#REF!+#REF!+#REF!+#REF!+#REF!+#REF!+#REF!+#REF!</f>
        <v>#REF!</v>
      </c>
      <c r="F117" s="85" t="e">
        <f>SUM((E118*F118/E117),E119*F119/E117,E120*F120/E117,E121*F121/E117)</f>
        <v>#REF!</v>
      </c>
      <c r="G117" s="45">
        <v>435</v>
      </c>
      <c r="H117" s="45" t="e">
        <f>F117+G117</f>
        <v>#REF!</v>
      </c>
      <c r="I117" s="45" t="e">
        <f>F117*E117</f>
        <v>#REF!</v>
      </c>
      <c r="J117" s="45" t="e">
        <f>G117*E117</f>
        <v>#REF!</v>
      </c>
      <c r="K117" s="45" t="e">
        <f>I117+J117</f>
        <v>#REF!</v>
      </c>
    </row>
    <row r="118" spans="1:11" ht="21" customHeight="1" outlineLevel="1" x14ac:dyDescent="0.25">
      <c r="A118" s="101" t="s">
        <v>142</v>
      </c>
      <c r="B118" s="87" t="s">
        <v>116</v>
      </c>
      <c r="C118" s="88" t="s">
        <v>137</v>
      </c>
      <c r="D118" s="89" t="s">
        <v>3</v>
      </c>
      <c r="E118" s="93" t="e">
        <f>#REF!+#REF!+#REF!+#REF!+#REF!</f>
        <v>#REF!</v>
      </c>
      <c r="F118" s="91">
        <f>595*0.3</f>
        <v>178.5</v>
      </c>
      <c r="G118" s="46"/>
      <c r="H118" s="46"/>
      <c r="I118" s="46" t="e">
        <f>E118*F118</f>
        <v>#REF!</v>
      </c>
      <c r="J118" s="46"/>
      <c r="K118" s="46"/>
    </row>
    <row r="119" spans="1:11" ht="15.75" customHeight="1" outlineLevel="1" x14ac:dyDescent="0.25">
      <c r="A119" s="101" t="s">
        <v>142</v>
      </c>
      <c r="B119" s="87" t="s">
        <v>117</v>
      </c>
      <c r="C119" s="88" t="s">
        <v>138</v>
      </c>
      <c r="D119" s="89" t="s">
        <v>3</v>
      </c>
      <c r="E119" s="93" t="e">
        <f>#REF!+#REF!+#REF!+#REF!+#REF!+#REF!</f>
        <v>#REF!</v>
      </c>
      <c r="F119" s="91">
        <f>595*0.33</f>
        <v>196.35</v>
      </c>
      <c r="G119" s="46"/>
      <c r="H119" s="46"/>
      <c r="I119" s="46" t="e">
        <f t="shared" ref="I119:I121" si="16">E119*F119</f>
        <v>#REF!</v>
      </c>
      <c r="J119" s="46"/>
      <c r="K119" s="46"/>
    </row>
    <row r="120" spans="1:11" ht="19.5" customHeight="1" outlineLevel="1" x14ac:dyDescent="0.25">
      <c r="A120" s="101" t="s">
        <v>142</v>
      </c>
      <c r="B120" s="87" t="s">
        <v>118</v>
      </c>
      <c r="C120" s="88" t="s">
        <v>139</v>
      </c>
      <c r="D120" s="89" t="s">
        <v>3</v>
      </c>
      <c r="E120" s="93" t="e">
        <f>#REF!+#REF!+#REF!</f>
        <v>#REF!</v>
      </c>
      <c r="F120" s="91">
        <f>595*0.37</f>
        <v>220.15</v>
      </c>
      <c r="G120" s="46"/>
      <c r="H120" s="46"/>
      <c r="I120" s="46" t="e">
        <f t="shared" si="16"/>
        <v>#REF!</v>
      </c>
      <c r="J120" s="46"/>
      <c r="K120" s="46"/>
    </row>
    <row r="121" spans="1:11" ht="16.5" customHeight="1" outlineLevel="1" x14ac:dyDescent="0.25">
      <c r="A121" s="101" t="s">
        <v>142</v>
      </c>
      <c r="B121" s="87" t="s">
        <v>119</v>
      </c>
      <c r="C121" s="88" t="s">
        <v>140</v>
      </c>
      <c r="D121" s="89" t="s">
        <v>3</v>
      </c>
      <c r="E121" s="93" t="e">
        <f>#REF!+#REF!+#REF!+#REF!+#REF!</f>
        <v>#REF!</v>
      </c>
      <c r="F121" s="91">
        <f>595*0.38</f>
        <v>226.1</v>
      </c>
      <c r="G121" s="46"/>
      <c r="H121" s="46"/>
      <c r="I121" s="46" t="e">
        <f t="shared" si="16"/>
        <v>#REF!</v>
      </c>
      <c r="J121" s="46"/>
      <c r="K121" s="46"/>
    </row>
    <row r="122" spans="1:11" s="27" customFormat="1" ht="27.6" x14ac:dyDescent="0.25">
      <c r="A122" s="95" t="s">
        <v>142</v>
      </c>
      <c r="B122" s="82" t="s">
        <v>120</v>
      </c>
      <c r="C122" s="100" t="s">
        <v>133</v>
      </c>
      <c r="D122" s="84" t="s">
        <v>3</v>
      </c>
      <c r="E122" s="85" t="e">
        <f>#REF!+#REF!+#REF!+#REF!+#REF!+#REF!+#REF!+#REF!+#REF!+#REF!+#REF!+#REF!</f>
        <v>#REF!</v>
      </c>
      <c r="F122" s="85" t="e">
        <f>SUM((E123*F123/E122),E124*F124/E122,E125*F125/E122)</f>
        <v>#REF!</v>
      </c>
      <c r="G122" s="45">
        <v>435</v>
      </c>
      <c r="H122" s="45" t="e">
        <f>F122+G122</f>
        <v>#REF!</v>
      </c>
      <c r="I122" s="45" t="e">
        <f>F122*E122</f>
        <v>#REF!</v>
      </c>
      <c r="J122" s="45" t="e">
        <f>G122*E122</f>
        <v>#REF!</v>
      </c>
      <c r="K122" s="45" t="e">
        <f>I122+J122</f>
        <v>#REF!</v>
      </c>
    </row>
    <row r="123" spans="1:11" outlineLevel="1" x14ac:dyDescent="0.25">
      <c r="A123" s="101" t="s">
        <v>142</v>
      </c>
      <c r="B123" s="87" t="s">
        <v>121</v>
      </c>
      <c r="C123" s="88" t="s">
        <v>134</v>
      </c>
      <c r="D123" s="89" t="s">
        <v>3</v>
      </c>
      <c r="E123" s="93" t="e">
        <f>#REF!+#REF!+#REF!+#REF!+#REF!</f>
        <v>#REF!</v>
      </c>
      <c r="F123" s="91">
        <f>495*0.27</f>
        <v>133.65</v>
      </c>
      <c r="G123" s="46"/>
      <c r="H123" s="46"/>
      <c r="I123" s="46" t="e">
        <f t="shared" ref="I123:I125" si="17">E123*F123</f>
        <v>#REF!</v>
      </c>
      <c r="J123" s="46"/>
      <c r="K123" s="46"/>
    </row>
    <row r="124" spans="1:11" outlineLevel="1" x14ac:dyDescent="0.25">
      <c r="A124" s="101" t="s">
        <v>142</v>
      </c>
      <c r="B124" s="87" t="s">
        <v>122</v>
      </c>
      <c r="C124" s="88" t="s">
        <v>135</v>
      </c>
      <c r="D124" s="89" t="s">
        <v>3</v>
      </c>
      <c r="E124" s="93" t="e">
        <f>#REF!+#REF!+#REF!+#REF!</f>
        <v>#REF!</v>
      </c>
      <c r="F124" s="91">
        <f>495*0.29</f>
        <v>143.55000000000001</v>
      </c>
      <c r="G124" s="46"/>
      <c r="H124" s="46"/>
      <c r="I124" s="46" t="e">
        <f t="shared" si="17"/>
        <v>#REF!</v>
      </c>
      <c r="J124" s="46"/>
      <c r="K124" s="46"/>
    </row>
    <row r="125" spans="1:11" outlineLevel="1" x14ac:dyDescent="0.25">
      <c r="A125" s="101" t="s">
        <v>142</v>
      </c>
      <c r="B125" s="87" t="s">
        <v>123</v>
      </c>
      <c r="C125" s="88" t="s">
        <v>136</v>
      </c>
      <c r="D125" s="89" t="s">
        <v>3</v>
      </c>
      <c r="E125" s="93" t="e">
        <f>#REF!+#REF!+#REF!</f>
        <v>#REF!</v>
      </c>
      <c r="F125" s="91">
        <f>495*0.35</f>
        <v>173.25</v>
      </c>
      <c r="G125" s="46"/>
      <c r="H125" s="46"/>
      <c r="I125" s="46" t="e">
        <f t="shared" si="17"/>
        <v>#REF!</v>
      </c>
      <c r="J125" s="46"/>
      <c r="K125" s="46"/>
    </row>
    <row r="126" spans="1:11" s="27" customFormat="1" x14ac:dyDescent="0.25">
      <c r="A126" s="95" t="s">
        <v>2</v>
      </c>
      <c r="B126" s="82" t="s">
        <v>124</v>
      </c>
      <c r="C126" s="100" t="s">
        <v>10</v>
      </c>
      <c r="D126" s="84" t="s">
        <v>3</v>
      </c>
      <c r="E126" s="85" t="e">
        <f>#REF!+#REF!+#REF!+#REF!+#REF!</f>
        <v>#REF!</v>
      </c>
      <c r="F126" s="85" t="e">
        <f>SUM((E127*F127/E126),E128*F128/E126)</f>
        <v>#REF!</v>
      </c>
      <c r="G126" s="45">
        <v>350</v>
      </c>
      <c r="H126" s="45" t="e">
        <f>F126+G126</f>
        <v>#REF!</v>
      </c>
      <c r="I126" s="45" t="e">
        <f>F126*E126</f>
        <v>#REF!</v>
      </c>
      <c r="J126" s="45" t="e">
        <f>G126*E126</f>
        <v>#REF!</v>
      </c>
      <c r="K126" s="45" t="e">
        <f>I126+J126</f>
        <v>#REF!</v>
      </c>
    </row>
    <row r="127" spans="1:11" outlineLevel="1" x14ac:dyDescent="0.25">
      <c r="A127" s="101" t="s">
        <v>2</v>
      </c>
      <c r="B127" s="87" t="s">
        <v>125</v>
      </c>
      <c r="C127" s="88" t="s">
        <v>128</v>
      </c>
      <c r="D127" s="89" t="s">
        <v>3</v>
      </c>
      <c r="E127" s="90" t="e">
        <f>E126*1.05</f>
        <v>#REF!</v>
      </c>
      <c r="F127" s="91">
        <f>442/30</f>
        <v>14.73</v>
      </c>
      <c r="G127" s="46"/>
      <c r="H127" s="46"/>
      <c r="I127" s="46" t="e">
        <f t="shared" ref="I127:I128" si="18">E127*F127</f>
        <v>#REF!</v>
      </c>
      <c r="J127" s="46"/>
      <c r="K127" s="46"/>
    </row>
    <row r="128" spans="1:11" ht="14.4" outlineLevel="1" thickBot="1" x14ac:dyDescent="0.3">
      <c r="A128" s="101" t="s">
        <v>2</v>
      </c>
      <c r="B128" s="87" t="s">
        <v>126</v>
      </c>
      <c r="C128" s="102" t="s">
        <v>129</v>
      </c>
      <c r="D128" s="103" t="s">
        <v>8</v>
      </c>
      <c r="E128" s="104" t="e">
        <f>E126/5</f>
        <v>#REF!</v>
      </c>
      <c r="F128" s="91">
        <v>800</v>
      </c>
      <c r="G128" s="50"/>
      <c r="H128" s="50"/>
      <c r="I128" s="50" t="e">
        <f t="shared" si="18"/>
        <v>#REF!</v>
      </c>
      <c r="J128" s="50"/>
      <c r="K128" s="50"/>
    </row>
    <row r="129" spans="1:11" ht="18" outlineLevel="1" thickBot="1" x14ac:dyDescent="0.3">
      <c r="A129" s="105"/>
      <c r="B129" s="106"/>
      <c r="C129" s="107" t="s">
        <v>153</v>
      </c>
      <c r="D129" s="108"/>
      <c r="E129" s="109"/>
      <c r="F129" s="110"/>
      <c r="G129" s="51"/>
      <c r="H129" s="51"/>
      <c r="I129" s="51" t="e">
        <f>SUM(I126,I122,I117,I115,I112,I109,I102,I95,I86,I82,I77,I72,I67,I62,I57,I52,I47,I42,I37,I32,I27,I22,I17,I12)</f>
        <v>#REF!</v>
      </c>
      <c r="J129" s="51" t="e">
        <f>SUM(J126,J122,J117,J115,J112,J109,J102,J95,J86,J82,J77,J72,J67,J62,J57,J52,J47,J42,J37,J32,J27,J22,J17,J12)</f>
        <v>#REF!</v>
      </c>
      <c r="K129" s="51" t="e">
        <f>I129+J129</f>
        <v>#REF!</v>
      </c>
    </row>
    <row r="130" spans="1:11" ht="16.2" outlineLevel="1" thickBot="1" x14ac:dyDescent="0.3">
      <c r="A130" s="105"/>
      <c r="B130" s="106"/>
      <c r="C130" s="111" t="s">
        <v>177</v>
      </c>
      <c r="D130" s="112"/>
      <c r="E130" s="113"/>
      <c r="F130" s="114"/>
      <c r="G130" s="52"/>
      <c r="H130" s="52"/>
      <c r="I130" s="52"/>
      <c r="J130" s="52"/>
      <c r="K130" s="68" t="e">
        <f>K129/1.2*0.2</f>
        <v>#REF!</v>
      </c>
    </row>
    <row r="131" spans="1:11" outlineLevel="1" x14ac:dyDescent="0.25">
      <c r="A131" s="105"/>
      <c r="B131" s="106"/>
      <c r="C131" s="105"/>
      <c r="D131" s="105"/>
      <c r="E131" s="105"/>
      <c r="F131" s="105"/>
      <c r="G131" s="53"/>
      <c r="H131" s="53"/>
      <c r="I131" s="53"/>
      <c r="J131" s="53"/>
      <c r="K131" s="53"/>
    </row>
    <row r="132" spans="1:11" ht="14.4" outlineLevel="1" thickBot="1" x14ac:dyDescent="0.3">
      <c r="A132" s="105"/>
      <c r="B132" s="106"/>
      <c r="C132" s="105"/>
      <c r="D132" s="105"/>
      <c r="E132" s="105"/>
      <c r="F132" s="105"/>
      <c r="G132" s="53"/>
      <c r="H132" s="53"/>
      <c r="I132" s="53"/>
      <c r="J132" s="53"/>
      <c r="K132" s="53"/>
    </row>
    <row r="133" spans="1:11" ht="20.25" customHeight="1" outlineLevel="1" thickBot="1" x14ac:dyDescent="0.45">
      <c r="A133" s="115"/>
      <c r="B133" s="55"/>
      <c r="C133" s="167" t="s">
        <v>168</v>
      </c>
      <c r="D133" s="168"/>
      <c r="E133" s="168"/>
      <c r="F133" s="168"/>
      <c r="G133" s="168"/>
      <c r="H133" s="168"/>
      <c r="I133" s="168"/>
      <c r="J133" s="168"/>
      <c r="K133" s="169"/>
    </row>
    <row r="134" spans="1:11" ht="36.75" customHeight="1" outlineLevel="1" x14ac:dyDescent="0.3">
      <c r="A134" s="115"/>
      <c r="B134" s="55"/>
      <c r="C134" s="116" t="s">
        <v>169</v>
      </c>
      <c r="D134" s="117"/>
      <c r="E134" s="117"/>
      <c r="F134" s="181" t="s">
        <v>178</v>
      </c>
      <c r="G134" s="182"/>
      <c r="H134" s="182"/>
      <c r="I134" s="182"/>
      <c r="J134" s="182"/>
      <c r="K134" s="183"/>
    </row>
    <row r="135" spans="1:11" ht="15.75" customHeight="1" outlineLevel="1" x14ac:dyDescent="0.3">
      <c r="A135" s="115"/>
      <c r="B135" s="55"/>
      <c r="C135" s="118" t="s">
        <v>170</v>
      </c>
      <c r="D135" s="119"/>
      <c r="E135" s="119"/>
      <c r="F135" s="178" t="s">
        <v>233</v>
      </c>
      <c r="G135" s="179"/>
      <c r="H135" s="179"/>
      <c r="I135" s="179"/>
      <c r="J135" s="179"/>
      <c r="K135" s="180"/>
    </row>
    <row r="136" spans="1:11" ht="15.6" outlineLevel="1" x14ac:dyDescent="0.25">
      <c r="A136" s="115"/>
      <c r="B136" s="120"/>
      <c r="C136" s="118" t="s">
        <v>179</v>
      </c>
      <c r="D136" s="119"/>
      <c r="E136" s="119"/>
      <c r="F136" s="184">
        <v>0.05</v>
      </c>
      <c r="G136" s="185"/>
      <c r="H136" s="185"/>
      <c r="I136" s="185"/>
      <c r="J136" s="185"/>
      <c r="K136" s="186"/>
    </row>
    <row r="137" spans="1:11" ht="15.75" customHeight="1" outlineLevel="1" x14ac:dyDescent="0.25">
      <c r="A137" s="115"/>
      <c r="B137" s="120"/>
      <c r="C137" s="118" t="s">
        <v>180</v>
      </c>
      <c r="D137" s="121"/>
      <c r="E137" s="121"/>
      <c r="F137" s="178" t="s">
        <v>234</v>
      </c>
      <c r="G137" s="179"/>
      <c r="H137" s="179"/>
      <c r="I137" s="179"/>
      <c r="J137" s="179"/>
      <c r="K137" s="180"/>
    </row>
    <row r="138" spans="1:11" ht="15.75" customHeight="1" outlineLevel="1" x14ac:dyDescent="0.3">
      <c r="A138" s="122"/>
      <c r="B138" s="120"/>
      <c r="C138" s="118" t="s">
        <v>171</v>
      </c>
      <c r="D138" s="121"/>
      <c r="E138" s="121"/>
      <c r="F138" s="178" t="s">
        <v>235</v>
      </c>
      <c r="G138" s="179"/>
      <c r="H138" s="179"/>
      <c r="I138" s="179"/>
      <c r="J138" s="179"/>
      <c r="K138" s="180"/>
    </row>
    <row r="139" spans="1:11" ht="15.75" customHeight="1" outlineLevel="1" x14ac:dyDescent="0.25">
      <c r="A139" s="56"/>
      <c r="B139" s="57"/>
      <c r="C139" s="118" t="s">
        <v>181</v>
      </c>
      <c r="D139" s="119"/>
      <c r="E139" s="119"/>
      <c r="F139" s="178" t="s">
        <v>236</v>
      </c>
      <c r="G139" s="179"/>
      <c r="H139" s="179"/>
      <c r="I139" s="179"/>
      <c r="J139" s="179"/>
      <c r="K139" s="180"/>
    </row>
    <row r="140" spans="1:11" ht="15.6" outlineLevel="1" x14ac:dyDescent="0.25">
      <c r="A140" s="56"/>
      <c r="B140" s="57"/>
      <c r="C140" s="118" t="s">
        <v>182</v>
      </c>
      <c r="D140" s="123"/>
      <c r="E140" s="124"/>
      <c r="F140" s="178" t="s">
        <v>183</v>
      </c>
      <c r="G140" s="179"/>
      <c r="H140" s="179"/>
      <c r="I140" s="179"/>
      <c r="J140" s="179"/>
      <c r="K140" s="180"/>
    </row>
    <row r="141" spans="1:11" ht="15.75" customHeight="1" outlineLevel="1" x14ac:dyDescent="0.25">
      <c r="A141" s="56"/>
      <c r="B141" s="57"/>
      <c r="C141" s="118" t="s">
        <v>184</v>
      </c>
      <c r="D141" s="123"/>
      <c r="E141" s="124"/>
      <c r="F141" s="178" t="s">
        <v>237</v>
      </c>
      <c r="G141" s="179"/>
      <c r="H141" s="179"/>
      <c r="I141" s="179"/>
      <c r="J141" s="179"/>
      <c r="K141" s="180"/>
    </row>
    <row r="142" spans="1:11" ht="15.75" customHeight="1" outlineLevel="1" x14ac:dyDescent="0.25">
      <c r="A142" s="56"/>
      <c r="B142" s="57"/>
      <c r="C142" s="118" t="s">
        <v>185</v>
      </c>
      <c r="D142" s="123"/>
      <c r="E142" s="124"/>
      <c r="F142" s="178" t="s">
        <v>238</v>
      </c>
      <c r="G142" s="179"/>
      <c r="H142" s="179"/>
      <c r="I142" s="179"/>
      <c r="J142" s="179"/>
      <c r="K142" s="180"/>
    </row>
    <row r="143" spans="1:11" ht="15.75" customHeight="1" outlineLevel="1" x14ac:dyDescent="0.25">
      <c r="A143" s="125"/>
      <c r="B143" s="125"/>
      <c r="C143" s="118" t="s">
        <v>186</v>
      </c>
      <c r="D143" s="123"/>
      <c r="E143" s="124"/>
      <c r="F143" s="170" t="s">
        <v>238</v>
      </c>
      <c r="G143" s="171"/>
      <c r="H143" s="171"/>
      <c r="I143" s="171"/>
      <c r="J143" s="171"/>
      <c r="K143" s="172"/>
    </row>
    <row r="144" spans="1:11" ht="16.5" customHeight="1" outlineLevel="1" thickBot="1" x14ac:dyDescent="0.3">
      <c r="A144" s="56"/>
      <c r="B144" s="57"/>
      <c r="C144" s="126" t="s">
        <v>190</v>
      </c>
      <c r="D144" s="127"/>
      <c r="E144" s="128"/>
      <c r="F144" s="173" t="s">
        <v>239</v>
      </c>
      <c r="G144" s="174"/>
      <c r="H144" s="174"/>
      <c r="I144" s="174"/>
      <c r="J144" s="174"/>
      <c r="K144" s="175"/>
    </row>
    <row r="145" spans="1:13" outlineLevel="1" x14ac:dyDescent="0.25">
      <c r="A145" s="56"/>
      <c r="B145" s="57"/>
      <c r="C145" s="58"/>
      <c r="D145" s="59"/>
      <c r="E145" s="60"/>
      <c r="F145" s="61"/>
      <c r="G145" s="62"/>
      <c r="H145" s="63"/>
      <c r="I145" s="63"/>
      <c r="J145" s="63"/>
      <c r="K145" s="63"/>
    </row>
    <row r="146" spans="1:13" ht="15.6" outlineLevel="1" x14ac:dyDescent="0.25">
      <c r="A146" s="129"/>
      <c r="B146" s="125"/>
      <c r="C146" s="130" t="s">
        <v>172</v>
      </c>
      <c r="D146" s="125"/>
      <c r="E146" s="64"/>
      <c r="F146" s="64"/>
      <c r="G146" s="64"/>
      <c r="H146" s="64"/>
      <c r="I146" s="64"/>
      <c r="J146" s="65"/>
      <c r="K146" s="66"/>
    </row>
    <row r="147" spans="1:13" ht="15.6" outlineLevel="1" x14ac:dyDescent="0.25">
      <c r="A147" s="131">
        <v>1</v>
      </c>
      <c r="B147" s="132"/>
      <c r="C147" s="176" t="s">
        <v>173</v>
      </c>
      <c r="D147" s="176"/>
      <c r="E147" s="176"/>
      <c r="F147" s="176"/>
      <c r="G147" s="176"/>
      <c r="H147" s="176"/>
      <c r="I147" s="176"/>
      <c r="J147" s="176"/>
      <c r="K147" s="66"/>
    </row>
    <row r="148" spans="1:13" ht="15.6" outlineLevel="1" x14ac:dyDescent="0.25">
      <c r="A148" s="131">
        <v>2</v>
      </c>
      <c r="B148" s="132"/>
      <c r="C148" s="166" t="s">
        <v>187</v>
      </c>
      <c r="D148" s="166"/>
      <c r="E148" s="166"/>
      <c r="F148" s="166"/>
      <c r="G148" s="166"/>
      <c r="H148" s="166"/>
      <c r="I148" s="166"/>
      <c r="J148" s="166"/>
      <c r="K148" s="66"/>
    </row>
    <row r="149" spans="1:13" ht="15.6" outlineLevel="1" x14ac:dyDescent="0.25">
      <c r="A149" s="131">
        <v>3</v>
      </c>
      <c r="B149" s="132"/>
      <c r="C149" s="133" t="s">
        <v>188</v>
      </c>
      <c r="D149" s="134"/>
      <c r="E149" s="134"/>
      <c r="F149" s="134"/>
      <c r="G149" s="67"/>
      <c r="H149" s="67"/>
      <c r="I149" s="67"/>
      <c r="J149" s="67"/>
      <c r="K149" s="66"/>
    </row>
    <row r="150" spans="1:13" ht="15.6" outlineLevel="1" x14ac:dyDescent="0.25">
      <c r="A150" s="131" t="s">
        <v>15</v>
      </c>
      <c r="B150" s="135"/>
      <c r="C150" s="133" t="s">
        <v>174</v>
      </c>
      <c r="D150" s="134"/>
      <c r="E150" s="134"/>
      <c r="F150" s="134"/>
      <c r="G150" s="67"/>
      <c r="H150" s="67"/>
      <c r="I150" s="67"/>
      <c r="J150" s="67"/>
      <c r="K150" s="66"/>
    </row>
    <row r="151" spans="1:13" ht="15.6" outlineLevel="1" x14ac:dyDescent="0.25">
      <c r="A151" s="131" t="s">
        <v>16</v>
      </c>
      <c r="B151" s="132"/>
      <c r="C151" s="177" t="s">
        <v>175</v>
      </c>
      <c r="D151" s="177"/>
      <c r="E151" s="177"/>
      <c r="F151" s="177"/>
      <c r="G151" s="177"/>
      <c r="H151" s="177"/>
      <c r="I151" s="177"/>
      <c r="J151" s="177"/>
      <c r="K151" s="66"/>
    </row>
    <row r="152" spans="1:13" ht="15.6" outlineLevel="1" x14ac:dyDescent="0.25">
      <c r="A152" s="131" t="s">
        <v>17</v>
      </c>
      <c r="B152" s="132"/>
      <c r="C152" s="165" t="s">
        <v>176</v>
      </c>
      <c r="D152" s="165"/>
      <c r="E152" s="165"/>
      <c r="F152" s="165"/>
      <c r="G152" s="165"/>
      <c r="H152" s="165"/>
      <c r="I152" s="165"/>
      <c r="J152" s="165"/>
      <c r="K152" s="66"/>
    </row>
    <row r="153" spans="1:13" ht="15.6" outlineLevel="1" x14ac:dyDescent="0.25">
      <c r="A153" s="131" t="s">
        <v>18</v>
      </c>
      <c r="B153" s="132"/>
      <c r="C153" s="166" t="s">
        <v>189</v>
      </c>
      <c r="D153" s="166"/>
      <c r="E153" s="166"/>
      <c r="F153" s="166"/>
      <c r="G153" s="166"/>
      <c r="H153" s="166"/>
      <c r="I153" s="166"/>
      <c r="J153" s="166"/>
      <c r="K153" s="66"/>
    </row>
    <row r="154" spans="1:13" outlineLevel="1" x14ac:dyDescent="0.25">
      <c r="A154" s="105"/>
      <c r="B154" s="106"/>
      <c r="C154" s="136"/>
      <c r="D154" s="137"/>
      <c r="E154" s="138"/>
      <c r="F154" s="139"/>
      <c r="G154" s="54"/>
      <c r="H154" s="54"/>
      <c r="I154" s="54"/>
      <c r="J154" s="54"/>
      <c r="K154" s="54"/>
    </row>
    <row r="155" spans="1:13" outlineLevel="1" x14ac:dyDescent="0.25">
      <c r="A155" s="105"/>
      <c r="B155" s="106"/>
      <c r="C155" s="136"/>
      <c r="D155" s="137"/>
      <c r="E155" s="138"/>
      <c r="F155" s="139"/>
      <c r="G155" s="54"/>
      <c r="H155" s="54"/>
      <c r="I155" s="54"/>
      <c r="J155" s="54"/>
      <c r="K155" s="54"/>
    </row>
    <row r="156" spans="1:13" ht="15.6" outlineLevel="1" x14ac:dyDescent="0.25">
      <c r="A156" s="105"/>
      <c r="B156" s="106"/>
      <c r="C156" s="164" t="s">
        <v>242</v>
      </c>
      <c r="D156" s="164"/>
      <c r="E156" s="164"/>
      <c r="F156" s="164"/>
      <c r="G156" s="164"/>
      <c r="H156" s="164"/>
      <c r="I156" s="164"/>
      <c r="J156" s="164"/>
      <c r="K156" s="164"/>
    </row>
    <row r="157" spans="1:13" s="24" customFormat="1" x14ac:dyDescent="0.25">
      <c r="A157" s="140"/>
      <c r="B157" s="141"/>
      <c r="C157" s="142"/>
      <c r="D157" s="140"/>
      <c r="E157" s="140"/>
      <c r="F157" s="140"/>
      <c r="G157" s="41"/>
      <c r="H157" s="41"/>
      <c r="I157" s="41"/>
      <c r="J157" s="41"/>
      <c r="K157" s="41"/>
      <c r="L157" s="42"/>
      <c r="M157" s="43"/>
    </row>
    <row r="158" spans="1:13" ht="49.5" customHeight="1" x14ac:dyDescent="0.25"/>
  </sheetData>
  <autoFilter ref="A10:P156" xr:uid="{00000000-0009-0000-0000-000003000000}"/>
  <mergeCells count="29">
    <mergeCell ref="F136:K136"/>
    <mergeCell ref="F137:K137"/>
    <mergeCell ref="A5:K5"/>
    <mergeCell ref="A6:K6"/>
    <mergeCell ref="A7:K7"/>
    <mergeCell ref="A8:K8"/>
    <mergeCell ref="A9:A10"/>
    <mergeCell ref="B9:B10"/>
    <mergeCell ref="C9:C10"/>
    <mergeCell ref="D9:D10"/>
    <mergeCell ref="E9:E10"/>
    <mergeCell ref="F9:H9"/>
    <mergeCell ref="I9:K9"/>
    <mergeCell ref="C156:K156"/>
    <mergeCell ref="C152:J152"/>
    <mergeCell ref="C153:J153"/>
    <mergeCell ref="C133:K133"/>
    <mergeCell ref="F143:K143"/>
    <mergeCell ref="F144:K144"/>
    <mergeCell ref="C147:J147"/>
    <mergeCell ref="C148:J148"/>
    <mergeCell ref="C151:J151"/>
    <mergeCell ref="F138:K138"/>
    <mergeCell ref="F139:K139"/>
    <mergeCell ref="F140:K140"/>
    <mergeCell ref="F141:K141"/>
    <mergeCell ref="F142:K142"/>
    <mergeCell ref="F134:K134"/>
    <mergeCell ref="F135:K135"/>
  </mergeCells>
  <pageMargins left="0.7" right="0.7" top="0.75" bottom="0.75" header="0.3" footer="0.3"/>
  <pageSetup paperSize="9" scale="3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7"/>
  <sheetViews>
    <sheetView workbookViewId="0">
      <selection activeCell="O15" sqref="O15"/>
    </sheetView>
  </sheetViews>
  <sheetFormatPr defaultRowHeight="14.4" x14ac:dyDescent="0.3"/>
  <cols>
    <col min="1" max="1" width="18.5546875" bestFit="1" customWidth="1"/>
  </cols>
  <sheetData>
    <row r="1" spans="1:7" ht="15" thickBot="1" x14ac:dyDescent="0.35"/>
    <row r="2" spans="1:7" ht="15" thickBot="1" x14ac:dyDescent="0.35">
      <c r="A2" s="199" t="s">
        <v>156</v>
      </c>
      <c r="B2" s="197" t="s">
        <v>157</v>
      </c>
      <c r="C2" s="194" t="s">
        <v>154</v>
      </c>
      <c r="D2" s="195"/>
      <c r="E2" s="194" t="s">
        <v>155</v>
      </c>
      <c r="F2" s="196"/>
      <c r="G2" s="195"/>
    </row>
    <row r="3" spans="1:7" ht="15" thickBot="1" x14ac:dyDescent="0.35">
      <c r="A3" s="200"/>
      <c r="B3" s="198"/>
      <c r="C3" s="18" t="s">
        <v>148</v>
      </c>
      <c r="D3" s="19" t="s">
        <v>149</v>
      </c>
      <c r="E3" s="18" t="s">
        <v>150</v>
      </c>
      <c r="F3" s="20" t="s">
        <v>151</v>
      </c>
      <c r="G3" s="19" t="s">
        <v>152</v>
      </c>
    </row>
    <row r="4" spans="1:7" ht="15" thickBot="1" x14ac:dyDescent="0.35">
      <c r="A4" s="6" t="s">
        <v>145</v>
      </c>
      <c r="B4" s="7" t="e">
        <f>SUM(C4:G4)</f>
        <v>#REF!</v>
      </c>
      <c r="C4" s="12" t="e">
        <f>#REF!</f>
        <v>#REF!</v>
      </c>
      <c r="D4" s="5" t="e">
        <f>#REF!</f>
        <v>#REF!</v>
      </c>
      <c r="E4" s="12" t="e">
        <f>#REF!</f>
        <v>#REF!</v>
      </c>
      <c r="F4" s="13" t="e">
        <f>#REF!</f>
        <v>#REF!</v>
      </c>
      <c r="G4" s="5" t="e">
        <f>#REF!</f>
        <v>#REF!</v>
      </c>
    </row>
    <row r="5" spans="1:7" ht="15" thickBot="1" x14ac:dyDescent="0.35">
      <c r="A5" s="9" t="s">
        <v>146</v>
      </c>
      <c r="B5" s="10" t="e">
        <f>SUM(C5:G5)</f>
        <v>#REF!</v>
      </c>
      <c r="C5" s="11" t="e">
        <f>#REF!</f>
        <v>#REF!</v>
      </c>
      <c r="D5" s="3" t="e">
        <f>#REF!</f>
        <v>#REF!</v>
      </c>
      <c r="E5" s="11" t="e">
        <f>#REF!</f>
        <v>#REF!</v>
      </c>
      <c r="F5" s="1" t="e">
        <f>#REF!</f>
        <v>#REF!</v>
      </c>
      <c r="G5" s="3" t="e">
        <f>#REF!</f>
        <v>#REF!</v>
      </c>
    </row>
    <row r="6" spans="1:7" ht="15" thickBot="1" x14ac:dyDescent="0.35">
      <c r="A6" s="8" t="s">
        <v>147</v>
      </c>
      <c r="B6" s="7" t="e">
        <f>SUM(C6:G6)</f>
        <v>#REF!</v>
      </c>
      <c r="C6" s="14" t="e">
        <f>#REF!</f>
        <v>#REF!</v>
      </c>
      <c r="D6" s="4" t="e">
        <f>#REF!</f>
        <v>#REF!</v>
      </c>
      <c r="E6" s="14" t="e">
        <f>#REF!</f>
        <v>#REF!</v>
      </c>
      <c r="F6" s="2" t="e">
        <f>#REF!</f>
        <v>#REF!</v>
      </c>
      <c r="G6" s="4" t="e">
        <f>#REF!</f>
        <v>#REF!</v>
      </c>
    </row>
    <row r="7" spans="1:7" ht="15" thickBot="1" x14ac:dyDescent="0.35">
      <c r="A7" s="21" t="s">
        <v>153</v>
      </c>
      <c r="B7" s="22" t="e">
        <f>B4+B5+B6</f>
        <v>#REF!</v>
      </c>
      <c r="C7" s="15"/>
      <c r="D7" s="16"/>
      <c r="E7" s="15"/>
      <c r="F7" s="17"/>
      <c r="G7" s="16"/>
    </row>
  </sheetData>
  <mergeCells count="4">
    <mergeCell ref="C2:D2"/>
    <mergeCell ref="E2:G2"/>
    <mergeCell ref="B2:B3"/>
    <mergeCell ref="A2:A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КО+материалы</vt:lpstr>
      <vt:lpstr>Для ГПР</vt:lpstr>
      <vt:lpstr>'КО+материалы'!Область_печати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2021-10-28T15:06:47Z</dcterms:modified>
</cp:coreProperties>
</file>